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4"/>
  </bookViews>
  <sheets>
    <sheet name="IS" sheetId="1" r:id="rId1"/>
    <sheet name="BS" sheetId="2" r:id="rId2"/>
    <sheet name="equity" sheetId="3" r:id="rId3"/>
    <sheet name="cash flow" sheetId="4" r:id="rId4"/>
    <sheet name="note" sheetId="5" r:id="rId5"/>
  </sheets>
  <externalReferences>
    <externalReference r:id="rId8"/>
  </externalReferences>
  <definedNames/>
  <calcPr fullCalcOnLoad="1"/>
</workbook>
</file>

<file path=xl/sharedStrings.xml><?xml version="1.0" encoding="utf-8"?>
<sst xmlns="http://schemas.openxmlformats.org/spreadsheetml/2006/main" count="329" uniqueCount="233">
  <si>
    <t xml:space="preserve">DPS RESOURCES BERHAD </t>
  </si>
  <si>
    <t>(Company No. 630878-X)</t>
  </si>
  <si>
    <t>CONDENSED CONSOLIDATED INCOME STATEMENT</t>
  </si>
  <si>
    <t>FOR THE SECOND QUARTER ENDED 30 JUNE 2008</t>
  </si>
  <si>
    <t>(The figures have not been audited)</t>
  </si>
  <si>
    <t>Individual Quarter</t>
  </si>
  <si>
    <t>Cumulative Quarter</t>
  </si>
  <si>
    <t>Preceding Year</t>
  </si>
  <si>
    <t>Current Year</t>
  </si>
  <si>
    <t>Corresponding</t>
  </si>
  <si>
    <t>Quarter</t>
  </si>
  <si>
    <t>To Date</t>
  </si>
  <si>
    <t>Period</t>
  </si>
  <si>
    <t>30.06.08</t>
  </si>
  <si>
    <t>30.06.07</t>
  </si>
  <si>
    <t>RM'000</t>
  </si>
  <si>
    <t>Revenue</t>
  </si>
  <si>
    <t>Operating profit</t>
  </si>
  <si>
    <t>Interest income</t>
  </si>
  <si>
    <t>Finance costs</t>
  </si>
  <si>
    <t>Profit before taxation</t>
  </si>
  <si>
    <t>Taxation</t>
  </si>
  <si>
    <t xml:space="preserve">Profit after tax </t>
  </si>
  <si>
    <t>Minority interest</t>
  </si>
  <si>
    <t>Profit for the period</t>
  </si>
  <si>
    <t>Pre-acquisition profit</t>
  </si>
  <si>
    <t>Profit attributable to ordinary equity holders of the parent</t>
  </si>
  <si>
    <t>Weighted average number of shares ('000s)</t>
  </si>
  <si>
    <t>Earning per share (sen)</t>
  </si>
  <si>
    <t>- Basic</t>
  </si>
  <si>
    <t>- Diluted</t>
  </si>
  <si>
    <t>CONDENSED CONSOLIDATED BALANCE SHEETS AS AT 30 JUNE 2008</t>
  </si>
  <si>
    <t>As At</t>
  </si>
  <si>
    <t>As At End</t>
  </si>
  <si>
    <t>Preceding</t>
  </si>
  <si>
    <t xml:space="preserve">Of Current </t>
  </si>
  <si>
    <t>Financial</t>
  </si>
  <si>
    <t>Year End</t>
  </si>
  <si>
    <t>31.12.07</t>
  </si>
  <si>
    <t>Property, plant and equipment</t>
  </si>
  <si>
    <t>Prepaid land lease payments</t>
  </si>
  <si>
    <t>Investment property</t>
  </si>
  <si>
    <t>Plantation development expenditure</t>
  </si>
  <si>
    <t>Deferred expenditure</t>
  </si>
  <si>
    <t>Current assets</t>
  </si>
  <si>
    <t>Inventories</t>
  </si>
  <si>
    <t>Receivables</t>
  </si>
  <si>
    <t>Tax refundable</t>
  </si>
  <si>
    <t>Cash and cash equivalents</t>
  </si>
  <si>
    <t>Current liabilities</t>
  </si>
  <si>
    <t>Short term borrowings</t>
  </si>
  <si>
    <t>Payables</t>
  </si>
  <si>
    <t>Net current assets / (liabilities)</t>
  </si>
  <si>
    <t>Share capital</t>
  </si>
  <si>
    <t>Reserves</t>
  </si>
  <si>
    <t>Shareholders' funds</t>
  </si>
  <si>
    <t>Share application money pending allotment</t>
  </si>
  <si>
    <t>Long term borrowings</t>
  </si>
  <si>
    <t>Deferred taxation</t>
  </si>
  <si>
    <t>Net Tangible Assets per share attributable to ordinary equity holders of the parent (RM)</t>
  </si>
  <si>
    <t>CONDENSED CONSOLIDATED STATEMENT OF CHANGES IN EQUITY</t>
  </si>
  <si>
    <t xml:space="preserve">Distributable </t>
  </si>
  <si>
    <t xml:space="preserve">Non-Distributable </t>
  </si>
  <si>
    <t>Share</t>
  </si>
  <si>
    <t xml:space="preserve">Retained </t>
  </si>
  <si>
    <t>Capital</t>
  </si>
  <si>
    <t>Profit</t>
  </si>
  <si>
    <t>Premium</t>
  </si>
  <si>
    <t>Total</t>
  </si>
  <si>
    <t>Balance as at 1 January 2006</t>
  </si>
  <si>
    <t>Priors' years adjustments</t>
  </si>
  <si>
    <t>Restated balance</t>
  </si>
  <si>
    <t>Effect on adopting FRS 3</t>
  </si>
  <si>
    <t>Issue of ordinary shares private placement</t>
  </si>
  <si>
    <t xml:space="preserve">Expenses of private placement and </t>
  </si>
  <si>
    <t>share buy-back written-off</t>
  </si>
  <si>
    <t>Deferred tax on revaluation increase</t>
  </si>
  <si>
    <t>no longer required</t>
  </si>
  <si>
    <t xml:space="preserve">Net profit / (loss) not recognised in </t>
  </si>
  <si>
    <t>income statement</t>
  </si>
  <si>
    <t>Dividends for the year ended:</t>
  </si>
  <si>
    <t>- 31.12.2005 (paid on 18 September 2006)</t>
  </si>
  <si>
    <t>Net profit for the year</t>
  </si>
  <si>
    <t>Balance as at 31 December 2006</t>
  </si>
  <si>
    <t xml:space="preserve">Expenses on private placement &amp; ESOS written-off </t>
  </si>
  <si>
    <t>Net loss not recognised in income statement</t>
  </si>
  <si>
    <t>Net profit for the financial year</t>
  </si>
  <si>
    <t>Balance as at 31 December 2007</t>
  </si>
  <si>
    <t xml:space="preserve">Rights Issue </t>
  </si>
  <si>
    <t>Expenses of Rights Issue written-off</t>
  </si>
  <si>
    <t>Net profit for the period</t>
  </si>
  <si>
    <t>Balance as at 30 JUNE 2008</t>
  </si>
  <si>
    <t>CONDENSED CONSOLIDATED CASH FLOW STATEMENT</t>
  </si>
  <si>
    <t>Cumulative</t>
  </si>
  <si>
    <t>Net cash inflow from operating activities</t>
  </si>
  <si>
    <t>Net cash (outflow) from investing activities</t>
  </si>
  <si>
    <t>Net cash inflow from financing activities</t>
  </si>
  <si>
    <t>Net increase in cash and cash equivalents</t>
  </si>
  <si>
    <t>Cash and cash equivalents as at 1 January 2008</t>
  </si>
  <si>
    <t>Cash and cash equivalents as at 30 June 2008</t>
  </si>
  <si>
    <t>Reconciliation :</t>
  </si>
  <si>
    <t>Cash and bank balances</t>
  </si>
  <si>
    <t xml:space="preserve">Bank overdrafts </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</si>
  <si>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</si>
  <si>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</si>
  <si>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</si>
  <si>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</si>
  <si>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</si>
  <si>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</si>
  <si>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</si>
  <si>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</si>
  <si>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</si>
  <si>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</si>
  <si>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</si>
  <si>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</si>
  <si>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</si>
  <si>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</si>
  <si>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</si>
  <si>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</si>
  <si>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</si>
  <si>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</si>
  <si>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</si>
  <si>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</si>
  <si>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</si>
  <si>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30.06.08</t>
  </si>
  <si>
    <t>Quarter Ended 30.06.07</t>
  </si>
  <si>
    <t>Primary Reporting Format -                        Business Segments</t>
  </si>
  <si>
    <t>RM ’000</t>
  </si>
  <si>
    <t>Manufacturing of wood based products</t>
  </si>
  <si>
    <t>Trading</t>
  </si>
  <si>
    <t>Property investment</t>
  </si>
  <si>
    <t>Agro-based industry</t>
  </si>
  <si>
    <r>
      <t>ADD:</t>
    </r>
    <r>
      <rPr>
        <u val="single"/>
        <sz val="10"/>
        <rFont val="Times New Roman"/>
        <family val="1"/>
      </rPr>
      <t xml:space="preserve"> Inter-segment revenue</t>
    </r>
  </si>
  <si>
    <t>Investment holding</t>
  </si>
  <si>
    <t xml:space="preserve">Current </t>
  </si>
  <si>
    <t>RM '000</t>
  </si>
  <si>
    <t>Malaysia</t>
  </si>
  <si>
    <t xml:space="preserve">Europe </t>
  </si>
  <si>
    <t>America</t>
  </si>
  <si>
    <t>Asia Pacific</t>
  </si>
  <si>
    <t>Middle East</t>
  </si>
  <si>
    <t>Africa</t>
  </si>
  <si>
    <t>A9.</t>
  </si>
  <si>
    <t>Valuations of Property, Plant and Equipment</t>
  </si>
  <si>
    <t>A10.</t>
  </si>
  <si>
    <t>Subsequent Events</t>
  </si>
  <si>
    <t xml:space="preserve">             </t>
  </si>
  <si>
    <t>A11.</t>
  </si>
  <si>
    <t>Changes in Composition of the Group</t>
  </si>
  <si>
    <t xml:space="preserve">There were no changes in the composition of the Group for the current year to date save for the acquisition </t>
  </si>
  <si>
    <t>of the subsidiaries:</t>
  </si>
  <si>
    <t>i) 100% equity of Hidayat Yakin Sdn Bhd by DPS Resources Berhad from the shareholders (all of them are individuals)</t>
  </si>
  <si>
    <t>at a consideration of RM3,700,000, which has been awarded a project known as "Kelulusan and Pelesenan Kawasan</t>
  </si>
  <si>
    <t>Cadangan Projek Peningkatan Stok Dirian Kawasan Hutan Simpanan Kekal Miskin Dengan Penanaman Spesis Pokok</t>
  </si>
  <si>
    <t>Getah Klon Balak (Timber Latex Clone)" at Hutan Simpanan Kekal Serasa, in the Mukim of Kuala Stong, Daerah Dabong,</t>
  </si>
  <si>
    <t>Jajahan Kuala Krai, Kelantan Timur measuring approximately 400 hectares for 50 years.</t>
  </si>
  <si>
    <t>ii) 100% equity of Biotrend Asia (M) Sdn Bhd by DPS Resources Berhad from the shareholders (all of them are individuals)</t>
  </si>
  <si>
    <t xml:space="preserve">at a consideration of RM11,500,000, which has obtained the consent from Yayasan Kelantan Darulnaim ("YAKIN") to </t>
  </si>
  <si>
    <t xml:space="preserve">carry out a project known as "Usahama Projek Tanaman Kelapa Sawit" covering an area of 11,500 acres of Government </t>
  </si>
  <si>
    <t xml:space="preserve">Land located at Daerah Dabong, Jajahan Kuala Krai, Kelantan to carry out oil palm plantation on the said Land for 66 </t>
  </si>
  <si>
    <t>years with an option to renew for another 33 years under a "Pajakan Kecil" (sub-lease) from YAKIN.</t>
  </si>
  <si>
    <t>Currently, we are still pending for the instruction from the State Government (Pejabat Tanah Dan Galian) to pay premium in</t>
  </si>
  <si>
    <t>order for the timber extraction.</t>
  </si>
  <si>
    <t>A12.</t>
  </si>
  <si>
    <t>Changes in Contingent Liabilities and Contingent Assets</t>
  </si>
  <si>
    <t>A13.</t>
  </si>
  <si>
    <t>Capital Commitments</t>
  </si>
  <si>
    <t>Capital commitments of the Group for the period ended 30 June 2008 are as follows:</t>
  </si>
  <si>
    <t xml:space="preserve">As at </t>
  </si>
  <si>
    <t>Approved and contracted for</t>
  </si>
  <si>
    <t>Approved but not contracted for</t>
  </si>
  <si>
    <t>PART B: ADDITIONAL INFORMATION REQUIRED BY BMSB'S LISTING REQUIREMENTS</t>
  </si>
  <si>
    <t>B1</t>
  </si>
  <si>
    <t>Review of Performance</t>
  </si>
  <si>
    <t>B2</t>
  </si>
  <si>
    <t>Comparison with immediate preceding quarter's results</t>
  </si>
  <si>
    <t>B3</t>
  </si>
  <si>
    <t>Commentary on Prospects</t>
  </si>
  <si>
    <t>B4</t>
  </si>
  <si>
    <t>Taxation comprise the following :</t>
  </si>
  <si>
    <t>Malaysian income tax</t>
  </si>
  <si>
    <t xml:space="preserve">Current Tax </t>
  </si>
  <si>
    <t xml:space="preserve">Deferred Tax </t>
  </si>
  <si>
    <t>B5</t>
  </si>
  <si>
    <t>Sales of Unquoted Investments and/or Properties</t>
  </si>
  <si>
    <t>B6</t>
  </si>
  <si>
    <t>Purchase or Disposal of Quoted Securities</t>
  </si>
  <si>
    <t>B7</t>
  </si>
  <si>
    <t>Corporate Proposal</t>
  </si>
  <si>
    <t>B8</t>
  </si>
  <si>
    <t>Group Borrowings and Debt Securities</t>
  </si>
  <si>
    <t>Total Group borrowings as at 30 JUNE 2008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</si>
  <si>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</si>
  <si>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</si>
  <si>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</si>
  <si>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</si>
  <si>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</si>
  <si>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</si>
  <si>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</si>
  <si>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</si>
  <si>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</si>
  <si>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</si>
  <si>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</si>
  <si>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</si>
  <si>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earnings per share for the current quarter and cumulative year to date are computed as follows:</t>
  </si>
  <si>
    <t>Individual</t>
  </si>
  <si>
    <t xml:space="preserve">Profit attributable to ordinary </t>
  </si>
  <si>
    <t>equity holders of the parent (RM'000)</t>
  </si>
  <si>
    <t>Weighted average number of ordinary</t>
  </si>
  <si>
    <t xml:space="preserve">   shares of RM0.50 each in issue ('000)</t>
  </si>
  <si>
    <t>Basic Earnings Per Share (sen)</t>
  </si>
  <si>
    <t>Effects of share options ('000)</t>
  </si>
  <si>
    <t>Adjusted weighted average number of ordinary</t>
  </si>
  <si>
    <t>Diluted Earnings Per Share (sen)</t>
  </si>
  <si>
    <t>B13</t>
  </si>
  <si>
    <t>Utilisation of Proceeds</t>
  </si>
  <si>
    <t>Utilisation of</t>
  </si>
  <si>
    <t>proceeds as</t>
  </si>
  <si>
    <t>Proceeds</t>
  </si>
  <si>
    <t>disclosed in</t>
  </si>
  <si>
    <t>Utilisation</t>
  </si>
  <si>
    <t>prospectus</t>
  </si>
  <si>
    <t>Capital expenditure</t>
  </si>
  <si>
    <t>Repayment of bank borrowings</t>
  </si>
  <si>
    <t>Working capital</t>
  </si>
  <si>
    <t>Expenses for the rights issue</t>
  </si>
  <si>
    <t>Deposits in bank</t>
  </si>
  <si>
    <t>**</t>
  </si>
  <si>
    <t>Amount being placed in deposits in bank to generate interest income, in the process of planning</t>
  </si>
  <si>
    <t>to fund for the Group's capital expenditure and working capital.</t>
  </si>
  <si>
    <t xml:space="preserve">PART C: STATUS OF COMPLIANCE WITH CONDITIONS IMPOSED BY THE </t>
  </si>
  <si>
    <t>SECURITIES COMMISSION</t>
  </si>
  <si>
    <t>C1</t>
  </si>
</sst>
</file>

<file path=xl/styles.xml><?xml version="1.0" encoding="utf-8"?>
<styleSheet xmlns="http://schemas.openxmlformats.org/spreadsheetml/2006/main">
  <numFmts count="2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_);_(@_)"/>
    <numFmt numFmtId="173" formatCode="_(* #,##0.00_);_(* \(#,##0.00\);_(* \-??_);_(@_)"/>
    <numFmt numFmtId="174" formatCode="_(* #,##0.0_);_(* \(#,##0.0\);_(* \-??_);_(@_)"/>
    <numFmt numFmtId="175" formatCode="_(* #,##0_);_(* \(#,##0\);_(* \-_);_(@_)"/>
    <numFmt numFmtId="176" formatCode="_(* #,##0.00_);_(* \(#,##0.00\);_(* \-_);_(@_)"/>
  </numFmts>
  <fonts count="16">
    <font>
      <sz val="10"/>
      <name val="Arial"/>
      <family val="0"/>
    </font>
    <font>
      <sz val="10"/>
      <color indexed="8"/>
      <name val="Times New Roman"/>
      <family val="0"/>
    </font>
    <font>
      <b/>
      <sz val="8"/>
      <name val="Times New Roman"/>
      <family val="1"/>
    </font>
    <font>
      <sz val="8"/>
      <name val="Times New Roman"/>
      <family val="1"/>
    </font>
    <font>
      <b/>
      <sz val="8"/>
      <name val="Arial"/>
      <family val="2"/>
    </font>
    <font>
      <sz val="8"/>
      <name val="Arial"/>
      <family val="0"/>
    </font>
    <font>
      <b/>
      <u val="single"/>
      <sz val="8"/>
      <name val="Times New Roman"/>
      <family val="1"/>
    </font>
    <font>
      <b/>
      <u val="single"/>
      <sz val="10"/>
      <color indexed="8"/>
      <name val="Times New Roman"/>
      <family val="0"/>
    </font>
    <font>
      <b/>
      <sz val="10"/>
      <color indexed="8"/>
      <name val="Times New Roman"/>
      <family val="0"/>
    </font>
    <font>
      <b/>
      <sz val="10"/>
      <name val="Times New Roman"/>
      <family val="1"/>
    </font>
    <font>
      <sz val="10"/>
      <name val="Times New Roman"/>
      <family val="1"/>
    </font>
    <font>
      <u val="single"/>
      <sz val="10"/>
      <name val="Times New Roman"/>
      <family val="1"/>
    </font>
    <font>
      <b/>
      <u val="single"/>
      <sz val="10"/>
      <name val="Times New Roman"/>
      <family val="1"/>
    </font>
    <font>
      <b/>
      <sz val="10"/>
      <name val="Arial"/>
      <family val="2"/>
    </font>
    <font>
      <b/>
      <i/>
      <sz val="10"/>
      <name val="Arial"/>
      <family val="2"/>
    </font>
    <font>
      <b/>
      <i/>
      <sz val="10"/>
      <name val="Times New Roman"/>
      <family val="1"/>
    </font>
  </fonts>
  <fills count="2">
    <fill>
      <patternFill/>
    </fill>
    <fill>
      <patternFill patternType="gray125"/>
    </fill>
  </fills>
  <borders count="20">
    <border>
      <left/>
      <right/>
      <top/>
      <bottom/>
      <diagonal/>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18">
    <xf numFmtId="0" fontId="0" fillId="0" borderId="0" xfId="0" applyAlignment="1">
      <alignment/>
    </xf>
    <xf numFmtId="0" fontId="2" fillId="0" borderId="0" xfId="20" applyFont="1" applyFill="1" applyAlignment="1">
      <alignment horizontal="left"/>
      <protection/>
    </xf>
    <xf numFmtId="0" fontId="2" fillId="0" borderId="0" xfId="20" applyFont="1" applyFill="1" applyAlignment="1">
      <alignment/>
      <protection/>
    </xf>
    <xf numFmtId="0" fontId="3" fillId="0" borderId="0" xfId="20" applyFont="1" applyFill="1">
      <alignment/>
      <protection/>
    </xf>
    <xf numFmtId="0" fontId="3" fillId="0" borderId="0" xfId="20" applyFont="1" applyFill="1" applyAlignment="1">
      <alignment horizontal="left"/>
      <protection/>
    </xf>
    <xf numFmtId="0" fontId="3" fillId="0" borderId="0" xfId="20" applyFont="1" applyFill="1" applyAlignment="1">
      <alignment horizontal="center"/>
      <protection/>
    </xf>
    <xf numFmtId="0" fontId="2" fillId="0" borderId="0" xfId="20" applyFont="1" applyFill="1" applyAlignment="1">
      <alignment horizontal="center"/>
      <protection/>
    </xf>
    <xf numFmtId="172" fontId="2" fillId="0" borderId="0" xfId="15" applyNumberFormat="1" applyFont="1" applyFill="1" applyBorder="1" applyAlignment="1" applyProtection="1">
      <alignment horizontal="left"/>
      <protection/>
    </xf>
    <xf numFmtId="172" fontId="3" fillId="0" borderId="1" xfId="15" applyNumberFormat="1" applyFont="1" applyFill="1" applyBorder="1" applyAlignment="1" applyProtection="1">
      <alignment horizontal="right"/>
      <protection/>
    </xf>
    <xf numFmtId="172" fontId="3" fillId="0" borderId="0" xfId="15" applyNumberFormat="1" applyFont="1" applyFill="1" applyBorder="1" applyAlignment="1" applyProtection="1">
      <alignment/>
      <protection/>
    </xf>
    <xf numFmtId="172" fontId="3" fillId="0" borderId="0" xfId="15" applyNumberFormat="1" applyFont="1" applyFill="1" applyBorder="1" applyAlignment="1" applyProtection="1">
      <alignment horizontal="left"/>
      <protection/>
    </xf>
    <xf numFmtId="172" fontId="3" fillId="0" borderId="0" xfId="15" applyNumberFormat="1" applyFont="1" applyFill="1" applyBorder="1" applyAlignment="1" applyProtection="1">
      <alignment horizontal="right"/>
      <protection/>
    </xf>
    <xf numFmtId="10" fontId="4" fillId="0" borderId="0" xfId="21" applyNumberFormat="1" applyFont="1" applyFill="1" applyBorder="1" applyAlignment="1" applyProtection="1">
      <alignment horizontal="right"/>
      <protection/>
    </xf>
    <xf numFmtId="9" fontId="3" fillId="0" borderId="0" xfId="21" applyFont="1" applyFill="1" applyBorder="1" applyAlignment="1" applyProtection="1">
      <alignment horizontal="right"/>
      <protection/>
    </xf>
    <xf numFmtId="10" fontId="4" fillId="0" borderId="2" xfId="21" applyNumberFormat="1" applyFont="1" applyFill="1" applyBorder="1" applyAlignment="1" applyProtection="1">
      <alignment horizontal="right"/>
      <protection/>
    </xf>
    <xf numFmtId="172" fontId="3" fillId="0" borderId="3" xfId="15" applyNumberFormat="1" applyFont="1" applyFill="1" applyBorder="1" applyAlignment="1" applyProtection="1">
      <alignment horizontal="right"/>
      <protection/>
    </xf>
    <xf numFmtId="172" fontId="3" fillId="0" borderId="2" xfId="15" applyNumberFormat="1" applyFont="1" applyFill="1" applyBorder="1" applyAlignment="1" applyProtection="1">
      <alignment horizontal="right"/>
      <protection/>
    </xf>
    <xf numFmtId="0" fontId="2" fillId="0" borderId="0" xfId="20" applyFont="1" applyFill="1" applyAlignment="1">
      <alignment horizontal="left" wrapText="1"/>
      <protection/>
    </xf>
    <xf numFmtId="172" fontId="3" fillId="0" borderId="4" xfId="15" applyNumberFormat="1" applyFont="1" applyFill="1" applyBorder="1" applyAlignment="1" applyProtection="1">
      <alignment horizontal="right"/>
      <protection/>
    </xf>
    <xf numFmtId="172" fontId="3" fillId="0" borderId="5" xfId="15" applyNumberFormat="1" applyFont="1" applyFill="1" applyBorder="1" applyAlignment="1" applyProtection="1">
      <alignment horizontal="right"/>
      <protection/>
    </xf>
    <xf numFmtId="171" fontId="3" fillId="0" borderId="0" xfId="15" applyFont="1" applyFill="1" applyBorder="1" applyAlignment="1" applyProtection="1">
      <alignment horizontal="right"/>
      <protection/>
    </xf>
    <xf numFmtId="0" fontId="3" fillId="0" borderId="0" xfId="20" applyFont="1" applyFill="1" applyAlignment="1">
      <alignment horizontal="left" wrapText="1"/>
      <protection/>
    </xf>
    <xf numFmtId="173" fontId="3" fillId="0" borderId="4" xfId="15" applyNumberFormat="1" applyFont="1" applyFill="1" applyBorder="1" applyAlignment="1" applyProtection="1">
      <alignment horizontal="right"/>
      <protection/>
    </xf>
    <xf numFmtId="174" fontId="3" fillId="0" borderId="0" xfId="15" applyNumberFormat="1" applyFont="1" applyFill="1" applyBorder="1" applyAlignment="1" applyProtection="1">
      <alignment horizontal="right"/>
      <protection/>
    </xf>
    <xf numFmtId="0" fontId="2" fillId="0" borderId="0" xfId="20" applyFont="1" applyFill="1">
      <alignment/>
      <protection/>
    </xf>
    <xf numFmtId="16" fontId="3" fillId="0" borderId="0" xfId="20" applyNumberFormat="1" applyFont="1" applyFill="1" applyAlignment="1">
      <alignment horizontal="center"/>
      <protection/>
    </xf>
    <xf numFmtId="172" fontId="2" fillId="0" borderId="0" xfId="15" applyNumberFormat="1" applyFont="1" applyFill="1" applyBorder="1" applyAlignment="1" applyProtection="1">
      <alignment/>
      <protection/>
    </xf>
    <xf numFmtId="172" fontId="3" fillId="0" borderId="6" xfId="15" applyNumberFormat="1" applyFont="1" applyFill="1" applyBorder="1" applyAlignment="1" applyProtection="1">
      <alignment/>
      <protection/>
    </xf>
    <xf numFmtId="172" fontId="3" fillId="0" borderId="6" xfId="15" applyNumberFormat="1" applyFont="1" applyFill="1" applyBorder="1" applyAlignment="1" applyProtection="1">
      <alignment horizontal="right"/>
      <protection/>
    </xf>
    <xf numFmtId="172" fontId="3" fillId="0" borderId="7" xfId="15" applyNumberFormat="1" applyFont="1" applyFill="1" applyBorder="1" applyAlignment="1" applyProtection="1">
      <alignment/>
      <protection/>
    </xf>
    <xf numFmtId="172" fontId="3" fillId="0" borderId="7" xfId="15" applyNumberFormat="1" applyFont="1" applyFill="1" applyBorder="1" applyAlignment="1" applyProtection="1">
      <alignment horizontal="right"/>
      <protection/>
    </xf>
    <xf numFmtId="172" fontId="3" fillId="0" borderId="8" xfId="15" applyNumberFormat="1" applyFont="1" applyFill="1" applyBorder="1" applyAlignment="1" applyProtection="1">
      <alignment/>
      <protection/>
    </xf>
    <xf numFmtId="172" fontId="3" fillId="0" borderId="8" xfId="15" applyNumberFormat="1" applyFont="1" applyFill="1" applyBorder="1" applyAlignment="1" applyProtection="1">
      <alignment horizontal="right"/>
      <protection/>
    </xf>
    <xf numFmtId="0" fontId="3" fillId="0" borderId="0" xfId="20" applyFont="1" applyFill="1" applyBorder="1">
      <alignment/>
      <protection/>
    </xf>
    <xf numFmtId="172" fontId="3" fillId="0" borderId="9" xfId="15" applyNumberFormat="1" applyFont="1" applyFill="1" applyBorder="1" applyAlignment="1" applyProtection="1">
      <alignment/>
      <protection/>
    </xf>
    <xf numFmtId="172" fontId="3" fillId="0" borderId="9" xfId="15" applyNumberFormat="1" applyFont="1" applyFill="1" applyBorder="1" applyAlignment="1" applyProtection="1">
      <alignment horizontal="right"/>
      <protection/>
    </xf>
    <xf numFmtId="172" fontId="3" fillId="0" borderId="5" xfId="15" applyNumberFormat="1" applyFont="1" applyFill="1" applyBorder="1" applyAlignment="1" applyProtection="1">
      <alignment/>
      <protection/>
    </xf>
    <xf numFmtId="0" fontId="3" fillId="0" borderId="0" xfId="20" applyFont="1" applyFill="1" applyAlignment="1">
      <alignment horizontal="right"/>
      <protection/>
    </xf>
    <xf numFmtId="172" fontId="3" fillId="0" borderId="0" xfId="20" applyNumberFormat="1" applyFont="1" applyFill="1" applyBorder="1">
      <alignment/>
      <protection/>
    </xf>
    <xf numFmtId="172" fontId="3" fillId="0" borderId="3" xfId="15" applyNumberFormat="1" applyFont="1" applyFill="1" applyBorder="1" applyAlignment="1" applyProtection="1">
      <alignment/>
      <protection/>
    </xf>
    <xf numFmtId="171" fontId="0" fillId="0" borderId="0" xfId="15" applyFill="1" applyBorder="1" applyAlignment="1" applyProtection="1">
      <alignment/>
      <protection/>
    </xf>
    <xf numFmtId="172" fontId="2" fillId="0" borderId="0" xfId="20" applyNumberFormat="1" applyFont="1" applyFill="1" applyAlignment="1">
      <alignment horizontal="right"/>
      <protection/>
    </xf>
    <xf numFmtId="173" fontId="2" fillId="0" borderId="10" xfId="15" applyNumberFormat="1" applyFont="1" applyFill="1" applyBorder="1" applyAlignment="1" applyProtection="1">
      <alignment/>
      <protection/>
    </xf>
    <xf numFmtId="0" fontId="2" fillId="0" borderId="0" xfId="20" applyFont="1" applyFill="1" applyAlignment="1">
      <alignment horizontal="right"/>
      <protection/>
    </xf>
    <xf numFmtId="173" fontId="2" fillId="0" borderId="10" xfId="15" applyNumberFormat="1" applyFont="1" applyFill="1" applyBorder="1" applyAlignment="1" applyProtection="1">
      <alignment horizontal="right"/>
      <protection/>
    </xf>
    <xf numFmtId="172" fontId="2" fillId="0" borderId="0" xfId="20" applyNumberFormat="1" applyFont="1" applyFill="1">
      <alignment/>
      <protection/>
    </xf>
    <xf numFmtId="172" fontId="3" fillId="0" borderId="0" xfId="15" applyNumberFormat="1" applyFont="1" applyFill="1" applyBorder="1" applyAlignment="1" applyProtection="1">
      <alignment horizontal="center"/>
      <protection/>
    </xf>
    <xf numFmtId="172" fontId="2" fillId="0" borderId="0" xfId="15" applyNumberFormat="1" applyFont="1" applyFill="1" applyBorder="1" applyAlignment="1" applyProtection="1">
      <alignment horizontal="right"/>
      <protection/>
    </xf>
    <xf numFmtId="172" fontId="3" fillId="0" borderId="11" xfId="15" applyNumberFormat="1" applyFont="1" applyFill="1" applyBorder="1" applyAlignment="1" applyProtection="1">
      <alignment/>
      <protection/>
    </xf>
    <xf numFmtId="172" fontId="3" fillId="0" borderId="12" xfId="15" applyNumberFormat="1" applyFont="1" applyFill="1" applyBorder="1" applyAlignment="1" applyProtection="1">
      <alignment horizontal="right"/>
      <protection/>
    </xf>
    <xf numFmtId="172" fontId="3" fillId="0" borderId="13" xfId="15" applyNumberFormat="1" applyFont="1" applyFill="1" applyBorder="1" applyAlignment="1" applyProtection="1">
      <alignment/>
      <protection/>
    </xf>
    <xf numFmtId="172" fontId="3" fillId="0" borderId="2" xfId="15" applyNumberFormat="1" applyFont="1" applyFill="1" applyBorder="1" applyAlignment="1" applyProtection="1">
      <alignment/>
      <protection/>
    </xf>
    <xf numFmtId="172" fontId="3" fillId="0" borderId="14" xfId="15" applyNumberFormat="1" applyFont="1" applyFill="1" applyBorder="1" applyAlignment="1" applyProtection="1">
      <alignment horizontal="right"/>
      <protection/>
    </xf>
    <xf numFmtId="172" fontId="3" fillId="0" borderId="15" xfId="15" applyNumberFormat="1" applyFont="1" applyFill="1" applyBorder="1" applyAlignment="1" applyProtection="1">
      <alignment/>
      <protection/>
    </xf>
    <xf numFmtId="172" fontId="3" fillId="0" borderId="16" xfId="15" applyNumberFormat="1" applyFont="1" applyFill="1" applyBorder="1" applyAlignment="1" applyProtection="1">
      <alignment horizontal="right"/>
      <protection/>
    </xf>
    <xf numFmtId="172" fontId="3" fillId="0" borderId="2" xfId="15" applyNumberFormat="1" applyFont="1" applyFill="1" applyBorder="1" applyAlignment="1" applyProtection="1">
      <alignment horizontal="center"/>
      <protection/>
    </xf>
    <xf numFmtId="172" fontId="3" fillId="0" borderId="17" xfId="15" applyNumberFormat="1" applyFont="1" applyFill="1" applyBorder="1" applyAlignment="1" applyProtection="1">
      <alignment/>
      <protection/>
    </xf>
    <xf numFmtId="172" fontId="3" fillId="0" borderId="18"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15" fontId="3" fillId="0" borderId="0" xfId="20" applyNumberFormat="1" applyFont="1" applyFill="1" applyAlignment="1">
      <alignment horizontal="center"/>
      <protection/>
    </xf>
    <xf numFmtId="175" fontId="3" fillId="0" borderId="0" xfId="15" applyNumberFormat="1" applyFont="1" applyFill="1" applyBorder="1" applyAlignment="1" applyProtection="1">
      <alignment/>
      <protection/>
    </xf>
    <xf numFmtId="37" fontId="3" fillId="0" borderId="0" xfId="15" applyNumberFormat="1" applyFont="1" applyFill="1" applyBorder="1" applyAlignment="1" applyProtection="1">
      <alignment/>
      <protection/>
    </xf>
    <xf numFmtId="175" fontId="3" fillId="0" borderId="2" xfId="15" applyNumberFormat="1" applyFont="1" applyFill="1" applyBorder="1" applyAlignment="1" applyProtection="1">
      <alignment/>
      <protection/>
    </xf>
    <xf numFmtId="175" fontId="3" fillId="0" borderId="0" xfId="15" applyNumberFormat="1" applyFont="1" applyFill="1" applyBorder="1" applyAlignment="1" applyProtection="1">
      <alignment horizontal="right"/>
      <protection/>
    </xf>
    <xf numFmtId="175" fontId="3" fillId="0" borderId="5" xfId="15" applyNumberFormat="1" applyFont="1" applyFill="1" applyBorder="1" applyAlignment="1" applyProtection="1">
      <alignment/>
      <protection/>
    </xf>
    <xf numFmtId="0" fontId="6" fillId="0" borderId="0" xfId="20" applyFont="1" applyFill="1">
      <alignment/>
      <protection/>
    </xf>
    <xf numFmtId="40" fontId="3" fillId="0" borderId="0" xfId="15" applyNumberFormat="1" applyFont="1" applyFill="1" applyBorder="1" applyAlignment="1" applyProtection="1">
      <alignment/>
      <protection/>
    </xf>
    <xf numFmtId="0" fontId="9" fillId="0" borderId="0" xfId="20" applyFont="1" applyFill="1" applyAlignment="1">
      <alignment/>
      <protection/>
    </xf>
    <xf numFmtId="0" fontId="10" fillId="0" borderId="0" xfId="20" applyFont="1" applyFill="1">
      <alignment/>
      <protection/>
    </xf>
    <xf numFmtId="0" fontId="10" fillId="0" borderId="0" xfId="20" applyFont="1" applyFill="1" applyBorder="1">
      <alignment/>
      <protection/>
    </xf>
    <xf numFmtId="0" fontId="9" fillId="0" borderId="0" xfId="20" applyFont="1" applyFill="1" applyAlignment="1">
      <alignment horizontal="left"/>
      <protection/>
    </xf>
    <xf numFmtId="0" fontId="9" fillId="0" borderId="0" xfId="20" applyFont="1" applyFill="1">
      <alignment/>
      <protection/>
    </xf>
    <xf numFmtId="0" fontId="10" fillId="0" borderId="0" xfId="19" applyFont="1" applyFill="1">
      <alignment/>
      <protection/>
    </xf>
    <xf numFmtId="0" fontId="10" fillId="0" borderId="0" xfId="19" applyFont="1" applyFill="1" applyAlignment="1">
      <alignment horizontal="center"/>
      <protection/>
    </xf>
    <xf numFmtId="0" fontId="10" fillId="0" borderId="0" xfId="19" applyFont="1" applyFill="1" applyBorder="1" applyAlignment="1">
      <alignment horizontal="center"/>
      <protection/>
    </xf>
    <xf numFmtId="0" fontId="10" fillId="0" borderId="0" xfId="20" applyFont="1" applyFill="1" applyBorder="1" applyAlignment="1">
      <alignment horizontal="center"/>
      <protection/>
    </xf>
    <xf numFmtId="0" fontId="10" fillId="0" borderId="0" xfId="19" applyFont="1" applyFill="1" applyBorder="1">
      <alignment/>
      <protection/>
    </xf>
    <xf numFmtId="0" fontId="11" fillId="0" borderId="0" xfId="19" applyFont="1" applyFill="1" applyBorder="1" applyAlignment="1">
      <alignment horizontal="center"/>
      <protection/>
    </xf>
    <xf numFmtId="0" fontId="10" fillId="0" borderId="0" xfId="19" applyFont="1" applyFill="1" applyBorder="1" applyAlignment="1">
      <alignment horizontal="center" wrapText="1"/>
      <protection/>
    </xf>
    <xf numFmtId="0" fontId="10" fillId="0" borderId="0" xfId="20" applyFont="1" applyFill="1" applyBorder="1" applyAlignment="1">
      <alignment horizontal="center" wrapText="1"/>
      <protection/>
    </xf>
    <xf numFmtId="0" fontId="10" fillId="0" borderId="0" xfId="20" applyFont="1" applyFill="1" applyAlignment="1">
      <alignment horizontal="center"/>
      <protection/>
    </xf>
    <xf numFmtId="175" fontId="10" fillId="0" borderId="0" xfId="19" applyNumberFormat="1" applyFont="1" applyFill="1" applyBorder="1" applyAlignment="1">
      <alignment horizontal="center"/>
      <protection/>
    </xf>
    <xf numFmtId="171" fontId="10" fillId="0" borderId="0" xfId="15" applyFont="1" applyFill="1" applyBorder="1" applyAlignment="1" applyProtection="1">
      <alignment/>
      <protection/>
    </xf>
    <xf numFmtId="175" fontId="10" fillId="0" borderId="0" xfId="20" applyNumberFormat="1" applyFont="1" applyFill="1" applyBorder="1" applyAlignment="1">
      <alignment horizontal="center"/>
      <protection/>
    </xf>
    <xf numFmtId="175" fontId="10" fillId="0" borderId="10" xfId="19" applyNumberFormat="1" applyFont="1" applyFill="1" applyBorder="1" applyAlignment="1">
      <alignment horizontal="center"/>
      <protection/>
    </xf>
    <xf numFmtId="175" fontId="10" fillId="0" borderId="10" xfId="20" applyNumberFormat="1" applyFont="1" applyFill="1" applyBorder="1" applyAlignment="1">
      <alignment horizontal="center"/>
      <protection/>
    </xf>
    <xf numFmtId="0" fontId="12" fillId="0" borderId="0" xfId="19" applyFont="1" applyFill="1" applyBorder="1">
      <alignment/>
      <protection/>
    </xf>
    <xf numFmtId="175" fontId="10" fillId="0" borderId="19" xfId="20" applyNumberFormat="1" applyFont="1" applyFill="1" applyBorder="1" applyAlignment="1">
      <alignment horizontal="center"/>
      <protection/>
    </xf>
    <xf numFmtId="0" fontId="0" fillId="0" borderId="0" xfId="0" applyFont="1" applyFill="1" applyBorder="1" applyAlignment="1">
      <alignment/>
    </xf>
    <xf numFmtId="37" fontId="0" fillId="0" borderId="0" xfId="15" applyNumberFormat="1" applyFont="1" applyFill="1" applyBorder="1" applyAlignment="1" applyProtection="1">
      <alignment/>
      <protection/>
    </xf>
    <xf numFmtId="9" fontId="10" fillId="0" borderId="0" xfId="21" applyFont="1" applyFill="1" applyBorder="1" applyAlignment="1" applyProtection="1">
      <alignment/>
      <protection/>
    </xf>
    <xf numFmtId="175" fontId="10" fillId="0" borderId="0" xfId="21" applyNumberFormat="1" applyFont="1" applyFill="1" applyBorder="1" applyAlignment="1" applyProtection="1">
      <alignment horizontal="right"/>
      <protection/>
    </xf>
    <xf numFmtId="37" fontId="13" fillId="0" borderId="0" xfId="15" applyNumberFormat="1" applyFont="1" applyFill="1" applyBorder="1" applyAlignment="1" applyProtection="1">
      <alignment/>
      <protection/>
    </xf>
    <xf numFmtId="175" fontId="10" fillId="0" borderId="5" xfId="20" applyNumberFormat="1" applyFont="1" applyFill="1" applyBorder="1">
      <alignment/>
      <protection/>
    </xf>
    <xf numFmtId="9" fontId="10" fillId="0" borderId="0" xfId="20" applyNumberFormat="1" applyFont="1" applyFill="1">
      <alignment/>
      <protection/>
    </xf>
    <xf numFmtId="37" fontId="14" fillId="0" borderId="0" xfId="15" applyNumberFormat="1" applyFont="1" applyFill="1" applyBorder="1" applyAlignment="1" applyProtection="1">
      <alignment/>
      <protection/>
    </xf>
    <xf numFmtId="172" fontId="0" fillId="0" borderId="0" xfId="15" applyNumberFormat="1" applyFont="1" applyFill="1" applyBorder="1" applyAlignment="1" applyProtection="1">
      <alignment horizontal="center"/>
      <protection/>
    </xf>
    <xf numFmtId="172" fontId="10" fillId="0" borderId="0" xfId="20" applyNumberFormat="1" applyFont="1" applyFill="1">
      <alignment/>
      <protection/>
    </xf>
    <xf numFmtId="175" fontId="10" fillId="0" borderId="0" xfId="20" applyNumberFormat="1" applyFont="1" applyFill="1">
      <alignment/>
      <protection/>
    </xf>
    <xf numFmtId="0" fontId="12" fillId="0" borderId="0" xfId="20" applyFont="1" applyFill="1">
      <alignment/>
      <protection/>
    </xf>
    <xf numFmtId="0" fontId="15" fillId="0" borderId="0" xfId="20" applyFont="1" applyFill="1">
      <alignment/>
      <protection/>
    </xf>
    <xf numFmtId="175" fontId="10" fillId="0" borderId="0" xfId="20" applyNumberFormat="1" applyFont="1" applyFill="1" applyBorder="1">
      <alignment/>
      <protection/>
    </xf>
    <xf numFmtId="172" fontId="10" fillId="0" borderId="5" xfId="15" applyNumberFormat="1" applyFont="1" applyFill="1" applyBorder="1" applyAlignment="1" applyProtection="1">
      <alignment horizontal="center"/>
      <protection/>
    </xf>
    <xf numFmtId="176" fontId="10" fillId="0" borderId="0" xfId="20" applyNumberFormat="1" applyFont="1" applyFill="1" applyBorder="1" applyAlignment="1">
      <alignment horizontal="center"/>
      <protection/>
    </xf>
    <xf numFmtId="175" fontId="10" fillId="0" borderId="0" xfId="20" applyNumberFormat="1" applyFont="1" applyFill="1" applyAlignment="1">
      <alignment horizontal="center"/>
      <protection/>
    </xf>
    <xf numFmtId="15" fontId="10" fillId="0" borderId="0" xfId="20" applyNumberFormat="1" applyFont="1" applyFill="1" applyAlignment="1">
      <alignment horizontal="center"/>
      <protection/>
    </xf>
    <xf numFmtId="15" fontId="10" fillId="0" borderId="0" xfId="20" applyNumberFormat="1" applyFont="1" applyFill="1" applyBorder="1" applyAlignment="1">
      <alignment horizontal="center"/>
      <protection/>
    </xf>
    <xf numFmtId="172" fontId="10" fillId="0" borderId="4" xfId="15" applyNumberFormat="1" applyFont="1" applyFill="1" applyBorder="1" applyAlignment="1" applyProtection="1">
      <alignment/>
      <protection/>
    </xf>
    <xf numFmtId="171" fontId="10" fillId="0" borderId="4" xfId="15" applyFont="1" applyFill="1" applyBorder="1" applyAlignment="1" applyProtection="1">
      <alignment/>
      <protection/>
    </xf>
    <xf numFmtId="172" fontId="10" fillId="0" borderId="0" xfId="15" applyNumberFormat="1" applyFont="1" applyFill="1" applyBorder="1" applyAlignment="1" applyProtection="1">
      <alignment/>
      <protection/>
    </xf>
    <xf numFmtId="172" fontId="10" fillId="0" borderId="2" xfId="15" applyNumberFormat="1" applyFont="1" applyFill="1" applyBorder="1" applyAlignment="1" applyProtection="1">
      <alignment/>
      <protection/>
    </xf>
    <xf numFmtId="173" fontId="10" fillId="0" borderId="4" xfId="15" applyNumberFormat="1" applyFont="1" applyFill="1" applyBorder="1" applyAlignment="1" applyProtection="1">
      <alignment/>
      <protection/>
    </xf>
    <xf numFmtId="14" fontId="10" fillId="0" borderId="0" xfId="20" applyNumberFormat="1" applyFont="1" applyFill="1">
      <alignment/>
      <protection/>
    </xf>
    <xf numFmtId="0" fontId="3" fillId="0" borderId="0" xfId="20" applyFont="1" applyFill="1" applyBorder="1" applyAlignment="1">
      <alignment horizontal="center"/>
      <protection/>
    </xf>
    <xf numFmtId="0" fontId="10" fillId="0" borderId="0" xfId="19" applyFont="1" applyFill="1" applyBorder="1" applyAlignment="1">
      <alignment horizontal="center"/>
      <protection/>
    </xf>
    <xf numFmtId="0" fontId="10" fillId="0" borderId="0" xfId="20" applyFont="1" applyFill="1" applyBorder="1" applyAlignment="1">
      <alignment horizontal="center"/>
      <protection/>
    </xf>
    <xf numFmtId="0" fontId="10" fillId="0" borderId="0" xfId="19" applyFont="1" applyFill="1" applyBorder="1" applyAlignment="1">
      <alignment horizontal="center" wrapText="1"/>
      <protection/>
    </xf>
    <xf numFmtId="0" fontId="9" fillId="0" borderId="0" xfId="19" applyFont="1" applyFill="1" applyBorder="1" applyAlignment="1">
      <alignment horizontal="left" wrapText="1"/>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76200</xdr:colOff>
      <xdr:row>1</xdr:row>
      <xdr:rowOff>57150</xdr:rowOff>
    </xdr:to>
    <xdr:sp>
      <xdr:nvSpPr>
        <xdr:cNvPr id="1" name="Text Box 1"/>
        <xdr:cNvSpPr txBox="1">
          <a:spLocks noChangeArrowheads="1"/>
        </xdr:cNvSpPr>
      </xdr:nvSpPr>
      <xdr:spPr>
        <a:xfrm>
          <a:off x="3181350"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42</xdr:row>
      <xdr:rowOff>142875</xdr:rowOff>
    </xdr:from>
    <xdr:to>
      <xdr:col>1</xdr:col>
      <xdr:colOff>457200</xdr:colOff>
      <xdr:row>44</xdr:row>
      <xdr:rowOff>57150</xdr:rowOff>
    </xdr:to>
    <xdr:sp>
      <xdr:nvSpPr>
        <xdr:cNvPr id="2" name="Text Box 2"/>
        <xdr:cNvSpPr txBox="1">
          <a:spLocks noChangeArrowheads="1"/>
        </xdr:cNvSpPr>
      </xdr:nvSpPr>
      <xdr:spPr>
        <a:xfrm>
          <a:off x="2695575" y="57912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45</xdr:row>
      <xdr:rowOff>28575</xdr:rowOff>
    </xdr:from>
    <xdr:to>
      <xdr:col>8</xdr:col>
      <xdr:colOff>9525</xdr:colOff>
      <xdr:row>48</xdr:row>
      <xdr:rowOff>142875</xdr:rowOff>
    </xdr:to>
    <xdr:sp fLocksText="0">
      <xdr:nvSpPr>
        <xdr:cNvPr id="3" name="Text Box 3"/>
        <xdr:cNvSpPr txBox="1">
          <a:spLocks noChangeArrowheads="1"/>
        </xdr:cNvSpPr>
      </xdr:nvSpPr>
      <xdr:spPr>
        <a:xfrm>
          <a:off x="9525" y="6162675"/>
          <a:ext cx="5829300" cy="6000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unaudited Condensed Consolidated Income Statement should be read in conjunction with the Annual Financial Statements for the year ended 31 December 2007 and the accompanying explanatory notes attached to the interim financial statements.</a:t>
          </a:r>
        </a:p>
      </xdr:txBody>
    </xdr:sp>
    <xdr:clientData/>
  </xdr:twoCellAnchor>
  <xdr:twoCellAnchor>
    <xdr:from>
      <xdr:col>1</xdr:col>
      <xdr:colOff>352425</xdr:colOff>
      <xdr:row>50</xdr:row>
      <xdr:rowOff>0</xdr:rowOff>
    </xdr:from>
    <xdr:to>
      <xdr:col>1</xdr:col>
      <xdr:colOff>457200</xdr:colOff>
      <xdr:row>51</xdr:row>
      <xdr:rowOff>66675</xdr:rowOff>
    </xdr:to>
    <xdr:sp>
      <xdr:nvSpPr>
        <xdr:cNvPr id="4" name="Text Box 4"/>
        <xdr:cNvSpPr txBox="1">
          <a:spLocks noChangeArrowheads="1"/>
        </xdr:cNvSpPr>
      </xdr:nvSpPr>
      <xdr:spPr>
        <a:xfrm>
          <a:off x="2695575" y="6943725"/>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46</xdr:row>
      <xdr:rowOff>9525</xdr:rowOff>
    </xdr:from>
    <xdr:to>
      <xdr:col>1</xdr:col>
      <xdr:colOff>447675</xdr:colOff>
      <xdr:row>47</xdr:row>
      <xdr:rowOff>0</xdr:rowOff>
    </xdr:to>
    <xdr:sp>
      <xdr:nvSpPr>
        <xdr:cNvPr id="1" name="Text Box 1"/>
        <xdr:cNvSpPr txBox="1">
          <a:spLocks noChangeArrowheads="1"/>
        </xdr:cNvSpPr>
      </xdr:nvSpPr>
      <xdr:spPr>
        <a:xfrm>
          <a:off x="4724400" y="6543675"/>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47</xdr:row>
      <xdr:rowOff>9525</xdr:rowOff>
    </xdr:from>
    <xdr:to>
      <xdr:col>5</xdr:col>
      <xdr:colOff>38100</xdr:colOff>
      <xdr:row>50</xdr:row>
      <xdr:rowOff>133350</xdr:rowOff>
    </xdr:to>
    <xdr:sp fLocksText="0">
      <xdr:nvSpPr>
        <xdr:cNvPr id="2" name="Text Box 2"/>
        <xdr:cNvSpPr txBox="1">
          <a:spLocks noChangeArrowheads="1"/>
        </xdr:cNvSpPr>
      </xdr:nvSpPr>
      <xdr:spPr>
        <a:xfrm>
          <a:off x="0" y="6686550"/>
          <a:ext cx="6305550" cy="5524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Balance Sheet should be read in conjunction with the Annual Financial Statements for the year ended 31 December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47625</xdr:rowOff>
    </xdr:from>
    <xdr:to>
      <xdr:col>5</xdr:col>
      <xdr:colOff>66675</xdr:colOff>
      <xdr:row>58</xdr:row>
      <xdr:rowOff>152400</xdr:rowOff>
    </xdr:to>
    <xdr:sp fLocksText="0">
      <xdr:nvSpPr>
        <xdr:cNvPr id="1" name="Text Box 1"/>
        <xdr:cNvSpPr txBox="1">
          <a:spLocks noChangeArrowheads="1"/>
        </xdr:cNvSpPr>
      </xdr:nvSpPr>
      <xdr:spPr>
        <a:xfrm>
          <a:off x="0" y="8229600"/>
          <a:ext cx="5781675" cy="42862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unaudited Condensed Consolidated Statement of Changes In Equity should be read in conjunction with the Annual Financial Statements for the year ended 31 December 2007.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76200</xdr:colOff>
      <xdr:row>36</xdr:row>
      <xdr:rowOff>66675</xdr:rowOff>
    </xdr:to>
    <xdr:sp>
      <xdr:nvSpPr>
        <xdr:cNvPr id="1" name="Text Box 1"/>
        <xdr:cNvSpPr txBox="1">
          <a:spLocks noChangeArrowheads="1"/>
        </xdr:cNvSpPr>
      </xdr:nvSpPr>
      <xdr:spPr>
        <a:xfrm>
          <a:off x="3495675" y="5057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35</xdr:row>
      <xdr:rowOff>28575</xdr:rowOff>
    </xdr:from>
    <xdr:to>
      <xdr:col>5</xdr:col>
      <xdr:colOff>57150</xdr:colOff>
      <xdr:row>38</xdr:row>
      <xdr:rowOff>133350</xdr:rowOff>
    </xdr:to>
    <xdr:sp fLocksText="0">
      <xdr:nvSpPr>
        <xdr:cNvPr id="2" name="Text Box 2"/>
        <xdr:cNvSpPr txBox="1">
          <a:spLocks noChangeArrowheads="1"/>
        </xdr:cNvSpPr>
      </xdr:nvSpPr>
      <xdr:spPr>
        <a:xfrm>
          <a:off x="47625" y="5086350"/>
          <a:ext cx="5448300" cy="5905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Cash Flow Statement should be read in conjunction with the Annual Financial Statements for the year ended 31 December 2007 and the accompanying explanatory notes attached to the interim financial statements.</a:t>
          </a:r>
        </a:p>
      </xdr:txBody>
    </xdr:sp>
    <xdr:clientData/>
  </xdr:twoCellAnchor>
  <xdr:twoCellAnchor>
    <xdr:from>
      <xdr:col>2</xdr:col>
      <xdr:colOff>0</xdr:colOff>
      <xdr:row>39</xdr:row>
      <xdr:rowOff>0</xdr:rowOff>
    </xdr:from>
    <xdr:to>
      <xdr:col>2</xdr:col>
      <xdr:colOff>76200</xdr:colOff>
      <xdr:row>40</xdr:row>
      <xdr:rowOff>66675</xdr:rowOff>
    </xdr:to>
    <xdr:sp>
      <xdr:nvSpPr>
        <xdr:cNvPr id="3" name="Text Box 3"/>
        <xdr:cNvSpPr txBox="1">
          <a:spLocks noChangeArrowheads="1"/>
        </xdr:cNvSpPr>
      </xdr:nvSpPr>
      <xdr:spPr>
        <a:xfrm>
          <a:off x="3495675" y="5705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0</xdr:rowOff>
    </xdr:from>
    <xdr:to>
      <xdr:col>8</xdr:col>
      <xdr:colOff>304800</xdr:colOff>
      <xdr:row>27</xdr:row>
      <xdr:rowOff>85725</xdr:rowOff>
    </xdr:to>
    <xdr:sp fLocksText="0">
      <xdr:nvSpPr>
        <xdr:cNvPr id="1" name="Text Box 1"/>
        <xdr:cNvSpPr txBox="1">
          <a:spLocks noChangeArrowheads="1"/>
        </xdr:cNvSpPr>
      </xdr:nvSpPr>
      <xdr:spPr>
        <a:xfrm>
          <a:off x="314325" y="4210050"/>
          <a:ext cx="5895975" cy="2476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auditors’ report  on the financial statements for the year ended 31 December 2007 was not qualified.</a:t>
          </a:r>
        </a:p>
      </xdr:txBody>
    </xdr:sp>
    <xdr:clientData/>
  </xdr:twoCellAnchor>
  <xdr:twoCellAnchor>
    <xdr:from>
      <xdr:col>1</xdr:col>
      <xdr:colOff>9525</xdr:colOff>
      <xdr:row>112</xdr:row>
      <xdr:rowOff>9525</xdr:rowOff>
    </xdr:from>
    <xdr:to>
      <xdr:col>8</xdr:col>
      <xdr:colOff>219075</xdr:colOff>
      <xdr:row>115</xdr:row>
      <xdr:rowOff>95250</xdr:rowOff>
    </xdr:to>
    <xdr:sp fLocksText="0">
      <xdr:nvSpPr>
        <xdr:cNvPr id="2" name="Text Box 2"/>
        <xdr:cNvSpPr txBox="1">
          <a:spLocks noChangeArrowheads="1"/>
        </xdr:cNvSpPr>
      </xdr:nvSpPr>
      <xdr:spPr>
        <a:xfrm>
          <a:off x="314325" y="18326100"/>
          <a:ext cx="5810250" cy="5715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There were no material events subsequent to the end of the current quarter, save for update on corporate proposal as disclosed in note B7 below.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138</xdr:row>
      <xdr:rowOff>9525</xdr:rowOff>
    </xdr:from>
    <xdr:to>
      <xdr:col>8</xdr:col>
      <xdr:colOff>304800</xdr:colOff>
      <xdr:row>140</xdr:row>
      <xdr:rowOff>104775</xdr:rowOff>
    </xdr:to>
    <xdr:sp fLocksText="0">
      <xdr:nvSpPr>
        <xdr:cNvPr id="3" name="Text Box 3"/>
        <xdr:cNvSpPr txBox="1">
          <a:spLocks noChangeArrowheads="1"/>
        </xdr:cNvSpPr>
      </xdr:nvSpPr>
      <xdr:spPr>
        <a:xfrm>
          <a:off x="314325" y="22536150"/>
          <a:ext cx="58959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contingent liabilities and contingent assets of a material nature since the last audited financial statements for the year ended 31 December 2007.</a:t>
          </a:r>
        </a:p>
      </xdr:txBody>
    </xdr:sp>
    <xdr:clientData/>
  </xdr:twoCellAnchor>
  <xdr:twoCellAnchor>
    <xdr:from>
      <xdr:col>1</xdr:col>
      <xdr:colOff>9525</xdr:colOff>
      <xdr:row>158</xdr:row>
      <xdr:rowOff>9525</xdr:rowOff>
    </xdr:from>
    <xdr:to>
      <xdr:col>8</xdr:col>
      <xdr:colOff>304800</xdr:colOff>
      <xdr:row>168</xdr:row>
      <xdr:rowOff>38100</xdr:rowOff>
    </xdr:to>
    <xdr:sp fLocksText="0">
      <xdr:nvSpPr>
        <xdr:cNvPr id="4" name="Text Box 4"/>
        <xdr:cNvSpPr txBox="1">
          <a:spLocks noChangeArrowheads="1"/>
        </xdr:cNvSpPr>
      </xdr:nvSpPr>
      <xdr:spPr>
        <a:xfrm>
          <a:off x="314325" y="25793700"/>
          <a:ext cx="5895975" cy="16478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For the second quarter ended 30 June 2008, the Group recorded a revenue of  RM46.6 million and profit before tax of RM3.2 million.  This result represents an increase of  28% from revenue of  RM36.4 million and decrease of 15% from profit before tax of RM3.7 for the corresponding period in 2007. 
The increase in revenue is mainly attributed to increased orders by existing and also new customers.
The decrease in profit before tax is mainly attributed to higher raw material costs due to the increase in fuel price.
</a:t>
          </a:r>
        </a:p>
      </xdr:txBody>
    </xdr:sp>
    <xdr:clientData/>
  </xdr:twoCellAnchor>
  <xdr:twoCellAnchor>
    <xdr:from>
      <xdr:col>1</xdr:col>
      <xdr:colOff>9525</xdr:colOff>
      <xdr:row>171</xdr:row>
      <xdr:rowOff>85725</xdr:rowOff>
    </xdr:from>
    <xdr:to>
      <xdr:col>8</xdr:col>
      <xdr:colOff>600075</xdr:colOff>
      <xdr:row>176</xdr:row>
      <xdr:rowOff>152400</xdr:rowOff>
    </xdr:to>
    <xdr:sp fLocksText="0">
      <xdr:nvSpPr>
        <xdr:cNvPr id="5" name="Text Box 5"/>
        <xdr:cNvSpPr txBox="1">
          <a:spLocks noChangeArrowheads="1"/>
        </xdr:cNvSpPr>
      </xdr:nvSpPr>
      <xdr:spPr>
        <a:xfrm>
          <a:off x="314325" y="27974925"/>
          <a:ext cx="6191250" cy="8763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The result for the quarter under review recorded an increase in turnover from RM40.4 million for the immediate preceding quarter as compared to RM 46.6 million achieved for the second quarter ended 30 June 2008, which represent an increase of 15%.
</a:t>
          </a:r>
          <a:r>
            <a:rPr lang="en-US" cap="none" sz="1000" b="0" i="0" u="none" baseline="0">
              <a:solidFill>
                <a:srgbClr val="000000"/>
              </a:solidFill>
              <a:latin typeface="Times New Roman"/>
              <a:ea typeface="Times New Roman"/>
              <a:cs typeface="Times New Roman"/>
            </a:rPr>
            <a:t>The current quarter profit before income tax of RM3.2 million shown a slight decrease as compared to profit before income tax of RM 3.4 million for the immediate preceding quarter.</a:t>
          </a:r>
        </a:p>
      </xdr:txBody>
    </xdr:sp>
    <xdr:clientData/>
  </xdr:twoCellAnchor>
  <xdr:twoCellAnchor>
    <xdr:from>
      <xdr:col>1</xdr:col>
      <xdr:colOff>38100</xdr:colOff>
      <xdr:row>211</xdr:row>
      <xdr:rowOff>47625</xdr:rowOff>
    </xdr:from>
    <xdr:to>
      <xdr:col>8</xdr:col>
      <xdr:colOff>276225</xdr:colOff>
      <xdr:row>213</xdr:row>
      <xdr:rowOff>104775</xdr:rowOff>
    </xdr:to>
    <xdr:sp fLocksText="0">
      <xdr:nvSpPr>
        <xdr:cNvPr id="6" name="Text Box 6"/>
        <xdr:cNvSpPr txBox="1">
          <a:spLocks noChangeArrowheads="1"/>
        </xdr:cNvSpPr>
      </xdr:nvSpPr>
      <xdr:spPr>
        <a:xfrm>
          <a:off x="342900" y="34280475"/>
          <a:ext cx="5838825" cy="3810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218</xdr:row>
      <xdr:rowOff>76200</xdr:rowOff>
    </xdr:from>
    <xdr:to>
      <xdr:col>8</xdr:col>
      <xdr:colOff>304800</xdr:colOff>
      <xdr:row>221</xdr:row>
      <xdr:rowOff>19050</xdr:rowOff>
    </xdr:to>
    <xdr:sp fLocksText="0">
      <xdr:nvSpPr>
        <xdr:cNvPr id="7" name="Text Box 7"/>
        <xdr:cNvSpPr txBox="1">
          <a:spLocks noChangeArrowheads="1"/>
        </xdr:cNvSpPr>
      </xdr:nvSpPr>
      <xdr:spPr>
        <a:xfrm>
          <a:off x="314325" y="35442525"/>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t>
          </a:r>
          <a:r>
            <a:rPr lang="en-US" cap="none" sz="1000" b="0" i="0" u="none" baseline="0">
              <a:solidFill>
                <a:srgbClr val="000000"/>
              </a:solidFill>
              <a:latin typeface="Times New Roman"/>
              <a:ea typeface="Times New Roman"/>
              <a:cs typeface="Times New Roman"/>
            </a:rPr>
            <a:t>(b) There were no investments in quoted securities as at the end of the financial period.
</a:t>
          </a:r>
        </a:p>
      </xdr:txBody>
    </xdr:sp>
    <xdr:clientData/>
  </xdr:twoCellAnchor>
  <xdr:twoCellAnchor>
    <xdr:from>
      <xdr:col>1</xdr:col>
      <xdr:colOff>19050</xdr:colOff>
      <xdr:row>226</xdr:row>
      <xdr:rowOff>66675</xdr:rowOff>
    </xdr:from>
    <xdr:to>
      <xdr:col>8</xdr:col>
      <xdr:colOff>257175</xdr:colOff>
      <xdr:row>260</xdr:row>
      <xdr:rowOff>9525</xdr:rowOff>
    </xdr:to>
    <xdr:sp fLocksText="0">
      <xdr:nvSpPr>
        <xdr:cNvPr id="8" name="Text Box 8"/>
        <xdr:cNvSpPr txBox="1">
          <a:spLocks noChangeArrowheads="1"/>
        </xdr:cNvSpPr>
      </xdr:nvSpPr>
      <xdr:spPr>
        <a:xfrm>
          <a:off x="323850" y="36728400"/>
          <a:ext cx="5838825" cy="5448300"/>
        </a:xfrm>
        <a:prstGeom prst="rect">
          <a:avLst/>
        </a:prstGeom>
        <a:solidFill>
          <a:srgbClr val="FFFFFF"/>
        </a:solidFill>
        <a:ln w="9525" cmpd="sng">
          <a:noFill/>
        </a:ln>
      </xdr:spPr>
      <xdr:txBody>
        <a:bodyPr vertOverflow="clip" wrap="square" lIns="20160" tIns="20160" rIns="20160" bIns="20160"/>
        <a:p>
          <a:pPr algn="l">
            <a:defRPr/>
          </a:pPr>
          <a:r>
            <a:rPr lang="en-US" cap="none" sz="1000" b="1" i="0" u="sng" baseline="0">
              <a:solidFill>
                <a:srgbClr val="000000"/>
              </a:solidFill>
              <a:latin typeface="Times New Roman"/>
              <a:ea typeface="Times New Roman"/>
              <a:cs typeface="Times New Roman"/>
            </a:rPr>
            <a:t>Proposal:
</a:t>
          </a:r>
          <a:r>
            <a:rPr lang="en-US" cap="none" sz="1000" b="0" i="0" u="none" baseline="0">
              <a:solidFill>
                <a:srgbClr val="000000"/>
              </a:solidFill>
              <a:latin typeface="Times New Roman"/>
              <a:ea typeface="Times New Roman"/>
              <a:cs typeface="Times New Roman"/>
            </a:rPr>
            <a:t>The Company ("DPS") announced on 8 June 2007 its intention to implement the following proposals:
</a:t>
          </a:r>
          <a:r>
            <a:rPr lang="en-US" cap="none" sz="1000" b="0" i="0" u="none" baseline="0">
              <a:solidFill>
                <a:srgbClr val="000000"/>
              </a:solidFill>
              <a:latin typeface="Times New Roman"/>
              <a:ea typeface="Times New Roman"/>
              <a:cs typeface="Times New Roman"/>
            </a:rPr>
            <a:t>(a) a renounceable rights issue of up to 151,800,000 new ordinary shares of RM0.50 each in DPS ("Rights Share(s)") on the basis of one (1) Rights Share for every one (1) existing ordinary share of RM0.50 each held in DPS ("DPS Share(s)" or "Share(s)") together with up to 75,900,000 free detachable warrants ("Warrant(s)") on the basis of one (1) free Warrant for every two (2) Rights Shares subscribed ("Proposed Rights Issue"); and
</a:t>
          </a:r>
          <a:r>
            <a:rPr lang="en-US" cap="none" sz="1000" b="0" i="0" u="none" baseline="0">
              <a:solidFill>
                <a:srgbClr val="000000"/>
              </a:solidFill>
              <a:latin typeface="Times New Roman"/>
              <a:ea typeface="Times New Roman"/>
              <a:cs typeface="Times New Roman"/>
            </a:rPr>
            <a:t>(b) an increase in the authorised share capital of DPS from RM100,000,000 comprising 200,000,000 Shares to RM250,000,000 comprising 500,000,000 Shares ("Proposed Increase in Authorised Share Capital")
</a:t>
          </a:r>
          <a:r>
            <a:rPr lang="en-US" cap="none" sz="1000" b="0" i="0" u="none" baseline="0">
              <a:solidFill>
                <a:srgbClr val="000000"/>
              </a:solidFill>
              <a:latin typeface="Times New Roman"/>
              <a:ea typeface="Times New Roman"/>
              <a:cs typeface="Times New Roman"/>
            </a:rPr>
            <a:t>(collectively to be referred to as the "Proposals").
</a:t>
          </a:r>
          <a:r>
            <a:rPr lang="en-US" cap="none" sz="1000" b="0" i="0" u="none" baseline="0">
              <a:solidFill>
                <a:srgbClr val="000000"/>
              </a:solidFill>
              <a:latin typeface="Times New Roman"/>
              <a:ea typeface="Times New Roman"/>
              <a:cs typeface="Times New Roman"/>
            </a:rPr>
            <a:t>The applications to the Securities Commission and Bank Negara Malaysia on the Proposed Rights Issue were submitted on 15 June 2007.
</a:t>
          </a:r>
          <a:r>
            <a:rPr lang="en-US" cap="none" sz="1000" b="0" i="0" u="none" baseline="0">
              <a:solidFill>
                <a:srgbClr val="000000"/>
              </a:solidFill>
              <a:latin typeface="Times New Roman"/>
              <a:ea typeface="Times New Roman"/>
              <a:cs typeface="Times New Roman"/>
            </a:rPr>
            <a:t>(c) Bank Negara Malaysia had vide its letter dated 29 June 2007 (received on 4 July 2007), approved the issuance of up to 75,900,000 Warrants pursuant to the Proposed Rights Issue to the non-resident shareholders of DPS, including renouncees who are non-residents pursuant to the Proposed Rights Issue.
</a:t>
          </a:r>
          <a:r>
            <a:rPr lang="en-US" cap="none" sz="1000" b="0" i="0" u="none" baseline="0">
              <a:solidFill>
                <a:srgbClr val="000000"/>
              </a:solidFill>
              <a:latin typeface="Times New Roman"/>
              <a:ea typeface="Times New Roman"/>
              <a:cs typeface="Times New Roman"/>
            </a:rPr>
            <a:t>(d) the Securities Commission ("SC") had vide its letter dated 10 July 2007 (received on 11 July 2007), approved the Proposed Rights Issue under Section 32(5) of the Securities Commission Act, 1993,  subject to specific terms and conditions as disclosed in the announcement to the Bursa Malaysia on 11 July 2007. 
</a:t>
          </a:r>
          <a:r>
            <a:rPr lang="en-US" cap="none" sz="1000" b="0" i="0" u="none" baseline="0">
              <a:solidFill>
                <a:srgbClr val="000000"/>
              </a:solidFill>
              <a:latin typeface="Times New Roman"/>
              <a:ea typeface="Times New Roman"/>
              <a:cs typeface="Times New Roman"/>
            </a:rPr>
            <a:t>(e) The Proposed Rights Issue and Proposed Increase in Authorised Share Capital were approved by the Company's Extraordinary General Meeting ("EGM") on 30 August 2007.
</a:t>
          </a:r>
          <a:r>
            <a:rPr lang="en-US" cap="none" sz="1000" b="0" i="0" u="none" baseline="0">
              <a:solidFill>
                <a:srgbClr val="000000"/>
              </a:solidFill>
              <a:latin typeface="Times New Roman"/>
              <a:ea typeface="Times New Roman"/>
              <a:cs typeface="Times New Roman"/>
            </a:rPr>
            <a:t>(f) Bursa Malaysia had vide its letter dated 25 September 2007 (received on 25 September 2007), approved in-principle the Admission and Listing of Rights Shares and Warrants, subject to terms and condition imposed.
</a:t>
          </a:r>
          <a:r>
            <a:rPr lang="en-US" cap="none" sz="1000" b="0" i="0" u="none" baseline="0">
              <a:solidFill>
                <a:srgbClr val="000000"/>
              </a:solidFill>
              <a:latin typeface="Times New Roman"/>
              <a:ea typeface="Times New Roman"/>
              <a:cs typeface="Times New Roman"/>
            </a:rPr>
            <a:t>(g) DPS Board of Directors had on even date resolved to fix the following prices for the securities to be issued pursuant to the Rights Issue as follows: -
</a:t>
          </a:r>
          <a:r>
            <a:rPr lang="en-US" cap="none" sz="1000" b="0" i="0" u="none" baseline="0">
              <a:solidFill>
                <a:srgbClr val="000000"/>
              </a:solidFill>
              <a:latin typeface="Times New Roman"/>
              <a:ea typeface="Times New Roman"/>
              <a:cs typeface="Times New Roman"/>
            </a:rPr>
            <a:t>     (i)  The issue price of the Right Shares is fixed at RM0.50 per Right Share, and
</a:t>
          </a:r>
          <a:r>
            <a:rPr lang="en-US" cap="none" sz="1000" b="0" i="0" u="none" baseline="0">
              <a:solidFill>
                <a:srgbClr val="000000"/>
              </a:solidFill>
              <a:latin typeface="Times New Roman"/>
              <a:ea typeface="Times New Roman"/>
              <a:cs typeface="Times New Roman"/>
            </a:rPr>
            <a:t>    (ii) The exercise price of the free detachable Warrants to be issued pursuant to the Rights Issue is fixed at    
</a:t>
          </a:r>
          <a:r>
            <a:rPr lang="en-US" cap="none" sz="1000" b="0" i="0" u="none" baseline="0">
              <a:solidFill>
                <a:srgbClr val="000000"/>
              </a:solidFill>
              <a:latin typeface="Times New Roman"/>
              <a:ea typeface="Times New Roman"/>
              <a:cs typeface="Times New Roman"/>
            </a:rPr>
            <a:t>          RM0.54 per Warrant.
</a:t>
          </a:r>
          <a:r>
            <a:rPr lang="en-US" cap="none" sz="1000" b="0" i="0" u="none" baseline="0">
              <a:solidFill>
                <a:srgbClr val="000000"/>
              </a:solidFill>
              <a:latin typeface="Times New Roman"/>
              <a:ea typeface="Times New Roman"/>
              <a:cs typeface="Times New Roman"/>
            </a:rPr>
            <a:t>Subject to specific terms and conditions as disclosed in the announcement to the Bursa Malaysia on 14 and 15 November 2007.
</a:t>
          </a:r>
          <a:r>
            <a:rPr lang="en-US" cap="none" sz="1000" b="1" i="0" u="sng" baseline="0">
              <a:solidFill>
                <a:srgbClr val="000000"/>
              </a:solidFill>
              <a:latin typeface="Times New Roman"/>
              <a:ea typeface="Times New Roman"/>
              <a:cs typeface="Times New Roman"/>
            </a:rPr>
            <a:t>Update:
</a:t>
          </a:r>
          <a:r>
            <a:rPr lang="en-US" cap="none" sz="1000" b="0" i="0" u="none" baseline="0">
              <a:solidFill>
                <a:srgbClr val="000000"/>
              </a:solidFill>
              <a:latin typeface="Times New Roman"/>
              <a:ea typeface="Times New Roman"/>
              <a:cs typeface="Times New Roman"/>
            </a:rPr>
            <a:t> 132,000,000 Rights Shares and 66,000,000 Warrants were listed and quoted on the Main Board of Bursa Malaysia Securities Berhad with effect of 9.00 a.m., Monday, 14 January 2008, marking the completion of the Rights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284</xdr:row>
      <xdr:rowOff>0</xdr:rowOff>
    </xdr:from>
    <xdr:to>
      <xdr:col>8</xdr:col>
      <xdr:colOff>304800</xdr:colOff>
      <xdr:row>285</xdr:row>
      <xdr:rowOff>66675</xdr:rowOff>
    </xdr:to>
    <xdr:sp fLocksText="0">
      <xdr:nvSpPr>
        <xdr:cNvPr id="9" name="Text Box 9"/>
        <xdr:cNvSpPr txBox="1">
          <a:spLocks noChangeArrowheads="1"/>
        </xdr:cNvSpPr>
      </xdr:nvSpPr>
      <xdr:spPr>
        <a:xfrm>
          <a:off x="314325" y="46072425"/>
          <a:ext cx="5895975" cy="228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114300</xdr:rowOff>
    </xdr:from>
    <xdr:to>
      <xdr:col>7</xdr:col>
      <xdr:colOff>647700</xdr:colOff>
      <xdr:row>20</xdr:row>
      <xdr:rowOff>85725</xdr:rowOff>
    </xdr:to>
    <xdr:sp fLocksText="0">
      <xdr:nvSpPr>
        <xdr:cNvPr id="10" name="Text Box 10"/>
        <xdr:cNvSpPr txBox="1">
          <a:spLocks noChangeArrowheads="1"/>
        </xdr:cNvSpPr>
      </xdr:nvSpPr>
      <xdr:spPr>
        <a:xfrm>
          <a:off x="314325" y="1409700"/>
          <a:ext cx="5391150" cy="191452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Chapter 9 Part K of the Listing Requirements of Bursa Malaysia Securities Berhad ("BMSB").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same accounting policies and methods of computation are followed in the interim financial statements as compared with the financial statements for the financial year ended 31 December 2007.
</a:t>
          </a:r>
        </a:p>
      </xdr:txBody>
    </xdr:sp>
    <xdr:clientData/>
  </xdr:twoCellAnchor>
  <xdr:twoCellAnchor>
    <xdr:from>
      <xdr:col>1</xdr:col>
      <xdr:colOff>9525</xdr:colOff>
      <xdr:row>49</xdr:row>
      <xdr:rowOff>28575</xdr:rowOff>
    </xdr:from>
    <xdr:to>
      <xdr:col>7</xdr:col>
      <xdr:colOff>838200</xdr:colOff>
      <xdr:row>52</xdr:row>
      <xdr:rowOff>0</xdr:rowOff>
    </xdr:to>
    <xdr:sp fLocksText="0">
      <xdr:nvSpPr>
        <xdr:cNvPr id="11" name="Text Box 11"/>
        <xdr:cNvSpPr txBox="1">
          <a:spLocks noChangeArrowheads="1"/>
        </xdr:cNvSpPr>
      </xdr:nvSpPr>
      <xdr:spPr>
        <a:xfrm>
          <a:off x="314325" y="7962900"/>
          <a:ext cx="5581650" cy="4572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204</xdr:row>
      <xdr:rowOff>9525</xdr:rowOff>
    </xdr:from>
    <xdr:to>
      <xdr:col>8</xdr:col>
      <xdr:colOff>304800</xdr:colOff>
      <xdr:row>208</xdr:row>
      <xdr:rowOff>0</xdr:rowOff>
    </xdr:to>
    <xdr:sp fLocksText="0">
      <xdr:nvSpPr>
        <xdr:cNvPr id="12" name="Text Box 12"/>
        <xdr:cNvSpPr txBox="1">
          <a:spLocks noChangeArrowheads="1"/>
        </xdr:cNvSpPr>
      </xdr:nvSpPr>
      <xdr:spPr>
        <a:xfrm>
          <a:off x="314325" y="33108900"/>
          <a:ext cx="5895975" cy="6381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effective tax rate for the periods presented above is lower than the statutory tax rate due to the availability of  reinvestment allowances, double tax deduction incentive for exports and tax incentive for approved food production project under agro-based industries in reducing taxable income. </a:t>
          </a:r>
        </a:p>
      </xdr:txBody>
    </xdr:sp>
    <xdr:clientData/>
  </xdr:twoCellAnchor>
  <xdr:twoCellAnchor>
    <xdr:from>
      <xdr:col>1</xdr:col>
      <xdr:colOff>9525</xdr:colOff>
      <xdr:row>277</xdr:row>
      <xdr:rowOff>85725</xdr:rowOff>
    </xdr:from>
    <xdr:to>
      <xdr:col>8</xdr:col>
      <xdr:colOff>304800</xdr:colOff>
      <xdr:row>279</xdr:row>
      <xdr:rowOff>19050</xdr:rowOff>
    </xdr:to>
    <xdr:sp fLocksText="0">
      <xdr:nvSpPr>
        <xdr:cNvPr id="13" name="Text Box 13"/>
        <xdr:cNvSpPr txBox="1">
          <a:spLocks noChangeArrowheads="1"/>
        </xdr:cNvSpPr>
      </xdr:nvSpPr>
      <xdr:spPr>
        <a:xfrm>
          <a:off x="314325" y="45024675"/>
          <a:ext cx="5895975" cy="2571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105</xdr:row>
      <xdr:rowOff>9525</xdr:rowOff>
    </xdr:from>
    <xdr:to>
      <xdr:col>8</xdr:col>
      <xdr:colOff>304800</xdr:colOff>
      <xdr:row>107</xdr:row>
      <xdr:rowOff>114300</xdr:rowOff>
    </xdr:to>
    <xdr:sp fLocksText="0">
      <xdr:nvSpPr>
        <xdr:cNvPr id="14" name="Text Box 14"/>
        <xdr:cNvSpPr txBox="1">
          <a:spLocks noChangeArrowheads="1"/>
        </xdr:cNvSpPr>
      </xdr:nvSpPr>
      <xdr:spPr>
        <a:xfrm>
          <a:off x="314325" y="17192625"/>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the valuation of property, plant and equipment since the last audited financial statement for the year ended 31 December 2007. </a:t>
          </a:r>
        </a:p>
      </xdr:txBody>
    </xdr:sp>
    <xdr:clientData/>
  </xdr:twoCellAnchor>
  <xdr:twoCellAnchor>
    <xdr:from>
      <xdr:col>1</xdr:col>
      <xdr:colOff>19050</xdr:colOff>
      <xdr:row>289</xdr:row>
      <xdr:rowOff>114300</xdr:rowOff>
    </xdr:from>
    <xdr:to>
      <xdr:col>8</xdr:col>
      <xdr:colOff>152400</xdr:colOff>
      <xdr:row>295</xdr:row>
      <xdr:rowOff>95250</xdr:rowOff>
    </xdr:to>
    <xdr:sp fLocksText="0">
      <xdr:nvSpPr>
        <xdr:cNvPr id="15" name="Text Box 15"/>
        <xdr:cNvSpPr txBox="1">
          <a:spLocks noChangeArrowheads="1"/>
        </xdr:cNvSpPr>
      </xdr:nvSpPr>
      <xdr:spPr>
        <a:xfrm>
          <a:off x="323850" y="46996350"/>
          <a:ext cx="5734050" cy="9525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For financial year ended 31 December 2007, the Board has recommended the final gross dividend of 1 sen per share (tax exempt), subject to the shareholders' approval at the Annual General Meeting. 
</a:t>
          </a:r>
          <a:r>
            <a:rPr lang="en-US" cap="none" sz="1000" b="0" i="0" u="none" baseline="0">
              <a:solidFill>
                <a:srgbClr val="000000"/>
              </a:solidFill>
              <a:latin typeface="Times New Roman"/>
              <a:ea typeface="Times New Roman"/>
              <a:cs typeface="Times New Roman"/>
            </a:rPr>
            <a:t>However, the recommendation of a first and final dividend of 2% (tax exempt) for the financial year ended 31 December 2007 by the Directors was not approved by the shareholders during the Annual General Meeting.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37</xdr:row>
      <xdr:rowOff>9525</xdr:rowOff>
    </xdr:from>
    <xdr:to>
      <xdr:col>7</xdr:col>
      <xdr:colOff>809625</xdr:colOff>
      <xdr:row>39</xdr:row>
      <xdr:rowOff>114300</xdr:rowOff>
    </xdr:to>
    <xdr:sp fLocksText="0">
      <xdr:nvSpPr>
        <xdr:cNvPr id="16" name="Text Box 16"/>
        <xdr:cNvSpPr txBox="1">
          <a:spLocks noChangeArrowheads="1"/>
        </xdr:cNvSpPr>
      </xdr:nvSpPr>
      <xdr:spPr>
        <a:xfrm>
          <a:off x="314325" y="6000750"/>
          <a:ext cx="55530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81</xdr:row>
      <xdr:rowOff>104775</xdr:rowOff>
    </xdr:from>
    <xdr:to>
      <xdr:col>8</xdr:col>
      <xdr:colOff>304800</xdr:colOff>
      <xdr:row>88</xdr:row>
      <xdr:rowOff>142875</xdr:rowOff>
    </xdr:to>
    <xdr:sp fLocksText="0">
      <xdr:nvSpPr>
        <xdr:cNvPr id="17" name="Text Box 17"/>
        <xdr:cNvSpPr txBox="1">
          <a:spLocks noChangeArrowheads="1"/>
        </xdr:cNvSpPr>
      </xdr:nvSpPr>
      <xdr:spPr>
        <a:xfrm>
          <a:off x="314325" y="13382625"/>
          <a:ext cx="5895975" cy="11715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Geographical segments
</a:t>
          </a:r>
          <a:r>
            <a:rPr lang="en-US" cap="none" sz="1000" b="0" i="0" u="none" baseline="0">
              <a:solidFill>
                <a:srgbClr val="000000"/>
              </a:solidFill>
              <a:latin typeface="Times New Roman"/>
              <a:ea typeface="Times New Roman"/>
              <a:cs typeface="Times New Roman"/>
            </a:rPr>
            <a:t>The Group's operations are principally carried out in Malaysia. In determining the geographical segments of the Group, sales of goods are based on the country in which the customer is located.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goods are mainly sold to customers located in Malaysia, Europe, America, Asia Pacific, Middle East and Africa.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364</xdr:row>
      <xdr:rowOff>9525</xdr:rowOff>
    </xdr:from>
    <xdr:to>
      <xdr:col>9</xdr:col>
      <xdr:colOff>0</xdr:colOff>
      <xdr:row>367</xdr:row>
      <xdr:rowOff>28575</xdr:rowOff>
    </xdr:to>
    <xdr:sp fLocksText="0">
      <xdr:nvSpPr>
        <xdr:cNvPr id="18" name="Text Box 18"/>
        <xdr:cNvSpPr txBox="1">
          <a:spLocks noChangeArrowheads="1"/>
        </xdr:cNvSpPr>
      </xdr:nvSpPr>
      <xdr:spPr>
        <a:xfrm>
          <a:off x="323850" y="58959750"/>
          <a:ext cx="6191250" cy="50482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t>
          </a:r>
          <a:r>
            <a:rPr lang="en-US" cap="none" sz="1000" b="0" i="0" u="none" baseline="0">
              <a:solidFill>
                <a:srgbClr val="000000"/>
              </a:solidFill>
              <a:latin typeface="Times New Roman"/>
              <a:ea typeface="Times New Roman"/>
              <a:cs typeface="Times New Roman"/>
            </a:rPr>
            <a:t>All permanent approvals for structures and ownership transfer of properties have been completed.</a:t>
          </a:r>
          <a:r>
            <a:rPr lang="en-US" cap="none" sz="1000" b="1"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340</xdr:row>
      <xdr:rowOff>9525</xdr:rowOff>
    </xdr:from>
    <xdr:to>
      <xdr:col>8</xdr:col>
      <xdr:colOff>228600</xdr:colOff>
      <xdr:row>342</xdr:row>
      <xdr:rowOff>114300</xdr:rowOff>
    </xdr:to>
    <xdr:sp fLocksText="0">
      <xdr:nvSpPr>
        <xdr:cNvPr id="19" name="Text Box 19"/>
        <xdr:cNvSpPr txBox="1">
          <a:spLocks noChangeArrowheads="1"/>
        </xdr:cNvSpPr>
      </xdr:nvSpPr>
      <xdr:spPr>
        <a:xfrm>
          <a:off x="314325" y="55054500"/>
          <a:ext cx="58197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Status of  finalised utilisation of proceeds arising from the Rights Issue, together with free detachable warrants exercise completed on 14 February 2008 amounting to RM66,000,000 are as follows:</a:t>
          </a:r>
        </a:p>
      </xdr:txBody>
    </xdr:sp>
    <xdr:clientData/>
  </xdr:twoCellAnchor>
  <xdr:twoCellAnchor>
    <xdr:from>
      <xdr:col>1</xdr:col>
      <xdr:colOff>9525</xdr:colOff>
      <xdr:row>63</xdr:row>
      <xdr:rowOff>9525</xdr:rowOff>
    </xdr:from>
    <xdr:to>
      <xdr:col>8</xdr:col>
      <xdr:colOff>304800</xdr:colOff>
      <xdr:row>66</xdr:row>
      <xdr:rowOff>85725</xdr:rowOff>
    </xdr:to>
    <xdr:sp fLocksText="0">
      <xdr:nvSpPr>
        <xdr:cNvPr id="20" name="Text Box 20"/>
        <xdr:cNvSpPr txBox="1">
          <a:spLocks noChangeArrowheads="1"/>
        </xdr:cNvSpPr>
      </xdr:nvSpPr>
      <xdr:spPr>
        <a:xfrm>
          <a:off x="314325" y="10191750"/>
          <a:ext cx="5895975" cy="5619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Business segments
</a:t>
          </a:r>
          <a:r>
            <a:rPr lang="en-US" cap="none" sz="1000" b="0" i="0" u="none" baseline="0">
              <a:solidFill>
                <a:srgbClr val="000000"/>
              </a:solidFill>
              <a:latin typeface="Times New Roman"/>
              <a:ea typeface="Times New Roman"/>
              <a:cs typeface="Times New Roman"/>
            </a:rPr>
            <a:t>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9525</xdr:colOff>
      <xdr:row>55</xdr:row>
      <xdr:rowOff>19050</xdr:rowOff>
    </xdr:from>
    <xdr:to>
      <xdr:col>7</xdr:col>
      <xdr:colOff>600075</xdr:colOff>
      <xdr:row>60</xdr:row>
      <xdr:rowOff>133350</xdr:rowOff>
    </xdr:to>
    <xdr:sp fLocksText="0">
      <xdr:nvSpPr>
        <xdr:cNvPr id="21" name="Text Box 21"/>
        <xdr:cNvSpPr txBox="1">
          <a:spLocks noChangeArrowheads="1"/>
        </xdr:cNvSpPr>
      </xdr:nvSpPr>
      <xdr:spPr>
        <a:xfrm>
          <a:off x="314325" y="8924925"/>
          <a:ext cx="5343525" cy="9048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For financial year ended 31 December 2007, the Board has recommended the final gross dividend of 1 sen per share (tax exempt), subject to the shareholders' approval at the Annual General Meeting. 
</a:t>
          </a:r>
          <a:r>
            <a:rPr lang="en-US" cap="none" sz="1000" b="0" i="0" u="none" baseline="0">
              <a:solidFill>
                <a:srgbClr val="000000"/>
              </a:solidFill>
              <a:latin typeface="Times New Roman"/>
              <a:ea typeface="Times New Roman"/>
              <a:cs typeface="Times New Roman"/>
            </a:rPr>
            <a:t>However, the recommendation of a first and final dividend of 2% (tax exempt) for the financial year ended 31 December 2007 by the Directors was not approved by the shareholders during the Annual General Meeting.
</a:t>
          </a:r>
        </a:p>
      </xdr:txBody>
    </xdr:sp>
    <xdr:clientData/>
  </xdr:twoCellAnchor>
  <xdr:twoCellAnchor>
    <xdr:from>
      <xdr:col>1</xdr:col>
      <xdr:colOff>19050</xdr:colOff>
      <xdr:row>179</xdr:row>
      <xdr:rowOff>76200</xdr:rowOff>
    </xdr:from>
    <xdr:to>
      <xdr:col>8</xdr:col>
      <xdr:colOff>247650</xdr:colOff>
      <xdr:row>191</xdr:row>
      <xdr:rowOff>19050</xdr:rowOff>
    </xdr:to>
    <xdr:sp fLocksText="0">
      <xdr:nvSpPr>
        <xdr:cNvPr id="22" name="Text Box 22"/>
        <xdr:cNvSpPr txBox="1">
          <a:spLocks noChangeArrowheads="1"/>
        </xdr:cNvSpPr>
      </xdr:nvSpPr>
      <xdr:spPr>
        <a:xfrm>
          <a:off x="323850" y="29260800"/>
          <a:ext cx="5829300" cy="18859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Moving forward, the Group plans to move up the value chain by penetrating higher-end segments with enhanced modern designs and materials in tandem with its current growth in business volume.
The Group remains cautious of the potential impact of fluctuations in raw material prices (especially rubberwood) and continued appreciation of RM against USD on its competitiveness.
At the same time, other business and diversification opportunities are currently being explored.
</a:t>
          </a:r>
        </a:p>
      </xdr:txBody>
    </xdr:sp>
    <xdr:clientData/>
  </xdr:twoCellAnchor>
  <xdr:twoCellAnchor>
    <xdr:from>
      <xdr:col>1</xdr:col>
      <xdr:colOff>9525</xdr:colOff>
      <xdr:row>313</xdr:row>
      <xdr:rowOff>85725</xdr:rowOff>
    </xdr:from>
    <xdr:to>
      <xdr:col>9</xdr:col>
      <xdr:colOff>66675</xdr:colOff>
      <xdr:row>318</xdr:row>
      <xdr:rowOff>19050</xdr:rowOff>
    </xdr:to>
    <xdr:sp fLocksText="0">
      <xdr:nvSpPr>
        <xdr:cNvPr id="23" name="Text Box 23"/>
        <xdr:cNvSpPr txBox="1">
          <a:spLocks noChangeArrowheads="1"/>
        </xdr:cNvSpPr>
      </xdr:nvSpPr>
      <xdr:spPr>
        <a:xfrm>
          <a:off x="314325" y="50873025"/>
          <a:ext cx="6267450" cy="7429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calculation of the diluted earnings per share is based on the profit attributable to ordinary equity holders of the parent for the current quarter and cumulative year to date divided by the adjusted weighted average number of ordinary shares of RM0.50 each in issue and issuable under the exercise of share options granted under the DPS Employees' Share Option Scheme.</a:t>
          </a:r>
        </a:p>
      </xdr:txBody>
    </xdr:sp>
    <xdr:clientData/>
  </xdr:twoCellAnchor>
  <xdr:twoCellAnchor>
    <xdr:from>
      <xdr:col>1</xdr:col>
      <xdr:colOff>9525</xdr:colOff>
      <xdr:row>26</xdr:row>
      <xdr:rowOff>0</xdr:rowOff>
    </xdr:from>
    <xdr:to>
      <xdr:col>8</xdr:col>
      <xdr:colOff>304800</xdr:colOff>
      <xdr:row>27</xdr:row>
      <xdr:rowOff>85725</xdr:rowOff>
    </xdr:to>
    <xdr:sp fLocksText="0">
      <xdr:nvSpPr>
        <xdr:cNvPr id="24" name="Text Box 1"/>
        <xdr:cNvSpPr txBox="1">
          <a:spLocks noChangeArrowheads="1"/>
        </xdr:cNvSpPr>
      </xdr:nvSpPr>
      <xdr:spPr>
        <a:xfrm>
          <a:off x="314325" y="4210050"/>
          <a:ext cx="5895975" cy="2476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auditors’ report  on the financial statements for the year ended 31 December 2007 was not qualified.</a:t>
          </a:r>
        </a:p>
      </xdr:txBody>
    </xdr:sp>
    <xdr:clientData/>
  </xdr:twoCellAnchor>
  <xdr:twoCellAnchor>
    <xdr:from>
      <xdr:col>1</xdr:col>
      <xdr:colOff>9525</xdr:colOff>
      <xdr:row>112</xdr:row>
      <xdr:rowOff>9525</xdr:rowOff>
    </xdr:from>
    <xdr:to>
      <xdr:col>8</xdr:col>
      <xdr:colOff>219075</xdr:colOff>
      <xdr:row>115</xdr:row>
      <xdr:rowOff>95250</xdr:rowOff>
    </xdr:to>
    <xdr:sp fLocksText="0">
      <xdr:nvSpPr>
        <xdr:cNvPr id="25" name="Text Box 2"/>
        <xdr:cNvSpPr txBox="1">
          <a:spLocks noChangeArrowheads="1"/>
        </xdr:cNvSpPr>
      </xdr:nvSpPr>
      <xdr:spPr>
        <a:xfrm>
          <a:off x="314325" y="18326100"/>
          <a:ext cx="5810250" cy="5715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There were no material events subsequent to the end of the current quarter, save for update on corporate proposal as disclosed in note B7 below.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138</xdr:row>
      <xdr:rowOff>9525</xdr:rowOff>
    </xdr:from>
    <xdr:to>
      <xdr:col>8</xdr:col>
      <xdr:colOff>304800</xdr:colOff>
      <xdr:row>140</xdr:row>
      <xdr:rowOff>104775</xdr:rowOff>
    </xdr:to>
    <xdr:sp fLocksText="0">
      <xdr:nvSpPr>
        <xdr:cNvPr id="26" name="Text Box 3"/>
        <xdr:cNvSpPr txBox="1">
          <a:spLocks noChangeArrowheads="1"/>
        </xdr:cNvSpPr>
      </xdr:nvSpPr>
      <xdr:spPr>
        <a:xfrm>
          <a:off x="314325" y="22536150"/>
          <a:ext cx="58959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contingent liabilities and contingent assets of a material nature since the last audited financial statements for the year ended 31 December 2007.</a:t>
          </a:r>
        </a:p>
      </xdr:txBody>
    </xdr:sp>
    <xdr:clientData/>
  </xdr:twoCellAnchor>
  <xdr:twoCellAnchor>
    <xdr:from>
      <xdr:col>1</xdr:col>
      <xdr:colOff>9525</xdr:colOff>
      <xdr:row>158</xdr:row>
      <xdr:rowOff>9525</xdr:rowOff>
    </xdr:from>
    <xdr:to>
      <xdr:col>8</xdr:col>
      <xdr:colOff>304800</xdr:colOff>
      <xdr:row>168</xdr:row>
      <xdr:rowOff>38100</xdr:rowOff>
    </xdr:to>
    <xdr:sp fLocksText="0">
      <xdr:nvSpPr>
        <xdr:cNvPr id="27" name="Text Box 4"/>
        <xdr:cNvSpPr txBox="1">
          <a:spLocks noChangeArrowheads="1"/>
        </xdr:cNvSpPr>
      </xdr:nvSpPr>
      <xdr:spPr>
        <a:xfrm>
          <a:off x="314325" y="25793700"/>
          <a:ext cx="5895975" cy="16478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For the second quarter ended 30 June 2008, the Group recorded a revenue of  RM46.6 million and profit before tax of RM3.2 million.  This result represents an increase of  28% from revenue of  RM36.4 million and decrease of 15% from profit before tax of RM3.7 for the corresponding period in 2007. 
The increase in revenue is mainly attributed to increased orders by existing and also new customers.
The decrease in profit before tax is mainly attributed to higher raw material costs due to the increase in fuel price.
</a:t>
          </a:r>
        </a:p>
      </xdr:txBody>
    </xdr:sp>
    <xdr:clientData/>
  </xdr:twoCellAnchor>
  <xdr:twoCellAnchor>
    <xdr:from>
      <xdr:col>1</xdr:col>
      <xdr:colOff>9525</xdr:colOff>
      <xdr:row>171</xdr:row>
      <xdr:rowOff>85725</xdr:rowOff>
    </xdr:from>
    <xdr:to>
      <xdr:col>8</xdr:col>
      <xdr:colOff>600075</xdr:colOff>
      <xdr:row>176</xdr:row>
      <xdr:rowOff>152400</xdr:rowOff>
    </xdr:to>
    <xdr:sp fLocksText="0">
      <xdr:nvSpPr>
        <xdr:cNvPr id="28" name="Text Box 5"/>
        <xdr:cNvSpPr txBox="1">
          <a:spLocks noChangeArrowheads="1"/>
        </xdr:cNvSpPr>
      </xdr:nvSpPr>
      <xdr:spPr>
        <a:xfrm>
          <a:off x="314325" y="27974925"/>
          <a:ext cx="6191250" cy="8763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The result for the quarter under review recorded an increase in turnover from RM40.4 million for the immediate preceding quarter as compared to RM 46.6 million achieved for the second quarter ended 30 June 2008, which represent an increase of 15%.
</a:t>
          </a:r>
          <a:r>
            <a:rPr lang="en-US" cap="none" sz="1000" b="0" i="0" u="none" baseline="0">
              <a:solidFill>
                <a:srgbClr val="000000"/>
              </a:solidFill>
              <a:latin typeface="Times New Roman"/>
              <a:ea typeface="Times New Roman"/>
              <a:cs typeface="Times New Roman"/>
            </a:rPr>
            <a:t>The current quarter profit before income tax of RM3.2 million shown a slight decrease as compared to profit before income tax of RM 3.4 million for the immediate preceding quarter.</a:t>
          </a:r>
        </a:p>
      </xdr:txBody>
    </xdr:sp>
    <xdr:clientData/>
  </xdr:twoCellAnchor>
  <xdr:twoCellAnchor>
    <xdr:from>
      <xdr:col>1</xdr:col>
      <xdr:colOff>38100</xdr:colOff>
      <xdr:row>211</xdr:row>
      <xdr:rowOff>47625</xdr:rowOff>
    </xdr:from>
    <xdr:to>
      <xdr:col>8</xdr:col>
      <xdr:colOff>276225</xdr:colOff>
      <xdr:row>213</xdr:row>
      <xdr:rowOff>104775</xdr:rowOff>
    </xdr:to>
    <xdr:sp fLocksText="0">
      <xdr:nvSpPr>
        <xdr:cNvPr id="29" name="Text Box 6"/>
        <xdr:cNvSpPr txBox="1">
          <a:spLocks noChangeArrowheads="1"/>
        </xdr:cNvSpPr>
      </xdr:nvSpPr>
      <xdr:spPr>
        <a:xfrm>
          <a:off x="342900" y="34280475"/>
          <a:ext cx="5838825" cy="3810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218</xdr:row>
      <xdr:rowOff>76200</xdr:rowOff>
    </xdr:from>
    <xdr:to>
      <xdr:col>8</xdr:col>
      <xdr:colOff>304800</xdr:colOff>
      <xdr:row>221</xdr:row>
      <xdr:rowOff>19050</xdr:rowOff>
    </xdr:to>
    <xdr:sp fLocksText="0">
      <xdr:nvSpPr>
        <xdr:cNvPr id="30" name="Text Box 7"/>
        <xdr:cNvSpPr txBox="1">
          <a:spLocks noChangeArrowheads="1"/>
        </xdr:cNvSpPr>
      </xdr:nvSpPr>
      <xdr:spPr>
        <a:xfrm>
          <a:off x="314325" y="35442525"/>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t>
          </a:r>
          <a:r>
            <a:rPr lang="en-US" cap="none" sz="1000" b="0" i="0" u="none" baseline="0">
              <a:solidFill>
                <a:srgbClr val="000000"/>
              </a:solidFill>
              <a:latin typeface="Times New Roman"/>
              <a:ea typeface="Times New Roman"/>
              <a:cs typeface="Times New Roman"/>
            </a:rPr>
            <a:t>(b) There were no investments in quoted securities as at the end of the financial period.
</a:t>
          </a:r>
        </a:p>
      </xdr:txBody>
    </xdr:sp>
    <xdr:clientData/>
  </xdr:twoCellAnchor>
  <xdr:twoCellAnchor>
    <xdr:from>
      <xdr:col>1</xdr:col>
      <xdr:colOff>19050</xdr:colOff>
      <xdr:row>226</xdr:row>
      <xdr:rowOff>66675</xdr:rowOff>
    </xdr:from>
    <xdr:to>
      <xdr:col>8</xdr:col>
      <xdr:colOff>257175</xdr:colOff>
      <xdr:row>260</xdr:row>
      <xdr:rowOff>9525</xdr:rowOff>
    </xdr:to>
    <xdr:sp fLocksText="0">
      <xdr:nvSpPr>
        <xdr:cNvPr id="31" name="Text Box 8"/>
        <xdr:cNvSpPr txBox="1">
          <a:spLocks noChangeArrowheads="1"/>
        </xdr:cNvSpPr>
      </xdr:nvSpPr>
      <xdr:spPr>
        <a:xfrm>
          <a:off x="323850" y="36728400"/>
          <a:ext cx="5838825" cy="5448300"/>
        </a:xfrm>
        <a:prstGeom prst="rect">
          <a:avLst/>
        </a:prstGeom>
        <a:solidFill>
          <a:srgbClr val="FFFFFF"/>
        </a:solidFill>
        <a:ln w="9525" cmpd="sng">
          <a:noFill/>
        </a:ln>
      </xdr:spPr>
      <xdr:txBody>
        <a:bodyPr vertOverflow="clip" wrap="square" lIns="20160" tIns="20160" rIns="20160" bIns="20160"/>
        <a:p>
          <a:pPr algn="l">
            <a:defRPr/>
          </a:pPr>
          <a:r>
            <a:rPr lang="en-US" cap="none" sz="1000" b="1" i="0" u="sng" baseline="0">
              <a:solidFill>
                <a:srgbClr val="000000"/>
              </a:solidFill>
              <a:latin typeface="Times New Roman"/>
              <a:ea typeface="Times New Roman"/>
              <a:cs typeface="Times New Roman"/>
            </a:rPr>
            <a:t>Proposal:
</a:t>
          </a:r>
          <a:r>
            <a:rPr lang="en-US" cap="none" sz="1000" b="0" i="0" u="none" baseline="0">
              <a:solidFill>
                <a:srgbClr val="000000"/>
              </a:solidFill>
              <a:latin typeface="Times New Roman"/>
              <a:ea typeface="Times New Roman"/>
              <a:cs typeface="Times New Roman"/>
            </a:rPr>
            <a:t>The Company ("DPS") announced on 8 June 2007 its intention to implement the following proposals:
</a:t>
          </a:r>
          <a:r>
            <a:rPr lang="en-US" cap="none" sz="1000" b="0" i="0" u="none" baseline="0">
              <a:solidFill>
                <a:srgbClr val="000000"/>
              </a:solidFill>
              <a:latin typeface="Times New Roman"/>
              <a:ea typeface="Times New Roman"/>
              <a:cs typeface="Times New Roman"/>
            </a:rPr>
            <a:t>(a) a renounceable rights issue of up to 151,800,000 new ordinary shares of RM0.50 each in DPS ("Rights Share(s)") on the basis of one (1) Rights Share for every one (1) existing ordinary share of RM0.50 each held in DPS ("DPS Share(s)" or "Share(s)") together with up to 75,900,000 free detachable warrants ("Warrant(s)") on the basis of one (1) free Warrant for every two (2) Rights Shares subscribed ("Proposed Rights Issue"); and
</a:t>
          </a:r>
          <a:r>
            <a:rPr lang="en-US" cap="none" sz="1000" b="0" i="0" u="none" baseline="0">
              <a:solidFill>
                <a:srgbClr val="000000"/>
              </a:solidFill>
              <a:latin typeface="Times New Roman"/>
              <a:ea typeface="Times New Roman"/>
              <a:cs typeface="Times New Roman"/>
            </a:rPr>
            <a:t>(b) an increase in the authorised share capital of DPS from RM100,000,000 comprising 200,000,000 Shares to RM250,000,000 comprising 500,000,000 Shares ("Proposed Increase in Authorised Share Capital")
</a:t>
          </a:r>
          <a:r>
            <a:rPr lang="en-US" cap="none" sz="1000" b="0" i="0" u="none" baseline="0">
              <a:solidFill>
                <a:srgbClr val="000000"/>
              </a:solidFill>
              <a:latin typeface="Times New Roman"/>
              <a:ea typeface="Times New Roman"/>
              <a:cs typeface="Times New Roman"/>
            </a:rPr>
            <a:t>(collectively to be referred to as the "Proposals").
</a:t>
          </a:r>
          <a:r>
            <a:rPr lang="en-US" cap="none" sz="1000" b="0" i="0" u="none" baseline="0">
              <a:solidFill>
                <a:srgbClr val="000000"/>
              </a:solidFill>
              <a:latin typeface="Times New Roman"/>
              <a:ea typeface="Times New Roman"/>
              <a:cs typeface="Times New Roman"/>
            </a:rPr>
            <a:t>The applications to the Securities Commission and Bank Negara Malaysia on the Proposed Rights Issue were submitted on 15 June 2007.
</a:t>
          </a:r>
          <a:r>
            <a:rPr lang="en-US" cap="none" sz="1000" b="0" i="0" u="none" baseline="0">
              <a:solidFill>
                <a:srgbClr val="000000"/>
              </a:solidFill>
              <a:latin typeface="Times New Roman"/>
              <a:ea typeface="Times New Roman"/>
              <a:cs typeface="Times New Roman"/>
            </a:rPr>
            <a:t>(c) Bank Negara Malaysia had vide its letter dated 29 June 2007 (received on 4 July 2007), approved the issuance of up to 75,900,000 Warrants pursuant to the Proposed Rights Issue to the non-resident shareholders of DPS, including renouncees who are non-residents pursuant to the Proposed Rights Issue.
</a:t>
          </a:r>
          <a:r>
            <a:rPr lang="en-US" cap="none" sz="1000" b="0" i="0" u="none" baseline="0">
              <a:solidFill>
                <a:srgbClr val="000000"/>
              </a:solidFill>
              <a:latin typeface="Times New Roman"/>
              <a:ea typeface="Times New Roman"/>
              <a:cs typeface="Times New Roman"/>
            </a:rPr>
            <a:t>(d) the Securities Commission ("SC") had vide its letter dated 10 July 2007 (received on 11 July 2007), approved the Proposed Rights Issue under Section 32(5) of the Securities Commission Act, 1993,  subject to specific terms and conditions as disclosed in the announcement to the Bursa Malaysia on 11 July 2007. 
</a:t>
          </a:r>
          <a:r>
            <a:rPr lang="en-US" cap="none" sz="1000" b="0" i="0" u="none" baseline="0">
              <a:solidFill>
                <a:srgbClr val="000000"/>
              </a:solidFill>
              <a:latin typeface="Times New Roman"/>
              <a:ea typeface="Times New Roman"/>
              <a:cs typeface="Times New Roman"/>
            </a:rPr>
            <a:t>(e) The Proposed Rights Issue and Proposed Increase in Authorised Share Capital were approved by the Company's Extraordinary General Meeting ("EGM") on 30 August 2007.
</a:t>
          </a:r>
          <a:r>
            <a:rPr lang="en-US" cap="none" sz="1000" b="0" i="0" u="none" baseline="0">
              <a:solidFill>
                <a:srgbClr val="000000"/>
              </a:solidFill>
              <a:latin typeface="Times New Roman"/>
              <a:ea typeface="Times New Roman"/>
              <a:cs typeface="Times New Roman"/>
            </a:rPr>
            <a:t>(f) Bursa Malaysia had vide its letter dated 25 September 2007 (received on 25 September 2007), approved in-principle the Admission and Listing of Rights Shares and Warrants, subject to terms and condition imposed.
</a:t>
          </a:r>
          <a:r>
            <a:rPr lang="en-US" cap="none" sz="1000" b="0" i="0" u="none" baseline="0">
              <a:solidFill>
                <a:srgbClr val="000000"/>
              </a:solidFill>
              <a:latin typeface="Times New Roman"/>
              <a:ea typeface="Times New Roman"/>
              <a:cs typeface="Times New Roman"/>
            </a:rPr>
            <a:t>(g) DPS Board of Directors had on even date resolved to fix the following prices for the securities to be issued pursuant to the Rights Issue as follows: -
</a:t>
          </a:r>
          <a:r>
            <a:rPr lang="en-US" cap="none" sz="1000" b="0" i="0" u="none" baseline="0">
              <a:solidFill>
                <a:srgbClr val="000000"/>
              </a:solidFill>
              <a:latin typeface="Times New Roman"/>
              <a:ea typeface="Times New Roman"/>
              <a:cs typeface="Times New Roman"/>
            </a:rPr>
            <a:t>     (i)  The issue price of the Right Shares is fixed at RM0.50 per Right Share, and
</a:t>
          </a:r>
          <a:r>
            <a:rPr lang="en-US" cap="none" sz="1000" b="0" i="0" u="none" baseline="0">
              <a:solidFill>
                <a:srgbClr val="000000"/>
              </a:solidFill>
              <a:latin typeface="Times New Roman"/>
              <a:ea typeface="Times New Roman"/>
              <a:cs typeface="Times New Roman"/>
            </a:rPr>
            <a:t>    (ii) The exercise price of the free detachable Warrants to be issued pursuant to the Rights Issue is fixed at    
</a:t>
          </a:r>
          <a:r>
            <a:rPr lang="en-US" cap="none" sz="1000" b="0" i="0" u="none" baseline="0">
              <a:solidFill>
                <a:srgbClr val="000000"/>
              </a:solidFill>
              <a:latin typeface="Times New Roman"/>
              <a:ea typeface="Times New Roman"/>
              <a:cs typeface="Times New Roman"/>
            </a:rPr>
            <a:t>          RM0.54 per Warrant.
</a:t>
          </a:r>
          <a:r>
            <a:rPr lang="en-US" cap="none" sz="1000" b="0" i="0" u="none" baseline="0">
              <a:solidFill>
                <a:srgbClr val="000000"/>
              </a:solidFill>
              <a:latin typeface="Times New Roman"/>
              <a:ea typeface="Times New Roman"/>
              <a:cs typeface="Times New Roman"/>
            </a:rPr>
            <a:t>Subject to specific terms and conditions as disclosed in the announcement to the Bursa Malaysia on 14 and 15 November 2007.
</a:t>
          </a:r>
          <a:r>
            <a:rPr lang="en-US" cap="none" sz="1000" b="1" i="0" u="sng" baseline="0">
              <a:solidFill>
                <a:srgbClr val="000000"/>
              </a:solidFill>
              <a:latin typeface="Times New Roman"/>
              <a:ea typeface="Times New Roman"/>
              <a:cs typeface="Times New Roman"/>
            </a:rPr>
            <a:t>Update:
</a:t>
          </a:r>
          <a:r>
            <a:rPr lang="en-US" cap="none" sz="1000" b="0" i="0" u="none" baseline="0">
              <a:solidFill>
                <a:srgbClr val="000000"/>
              </a:solidFill>
              <a:latin typeface="Times New Roman"/>
              <a:ea typeface="Times New Roman"/>
              <a:cs typeface="Times New Roman"/>
            </a:rPr>
            <a:t> 132,000,000 Rights Shares and 66,000,000 Warrants were listed and quoted on the Main Board of Bursa Malaysia Securities Berhad with effect of 9.00 a.m., Monday, 14 January 2008, marking the completion of the Rights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284</xdr:row>
      <xdr:rowOff>0</xdr:rowOff>
    </xdr:from>
    <xdr:to>
      <xdr:col>8</xdr:col>
      <xdr:colOff>304800</xdr:colOff>
      <xdr:row>285</xdr:row>
      <xdr:rowOff>66675</xdr:rowOff>
    </xdr:to>
    <xdr:sp fLocksText="0">
      <xdr:nvSpPr>
        <xdr:cNvPr id="32" name="Text Box 9"/>
        <xdr:cNvSpPr txBox="1">
          <a:spLocks noChangeArrowheads="1"/>
        </xdr:cNvSpPr>
      </xdr:nvSpPr>
      <xdr:spPr>
        <a:xfrm>
          <a:off x="314325" y="46072425"/>
          <a:ext cx="5895975" cy="228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114300</xdr:rowOff>
    </xdr:from>
    <xdr:to>
      <xdr:col>7</xdr:col>
      <xdr:colOff>647700</xdr:colOff>
      <xdr:row>20</xdr:row>
      <xdr:rowOff>85725</xdr:rowOff>
    </xdr:to>
    <xdr:sp fLocksText="0">
      <xdr:nvSpPr>
        <xdr:cNvPr id="33" name="Text Box 10"/>
        <xdr:cNvSpPr txBox="1">
          <a:spLocks noChangeArrowheads="1"/>
        </xdr:cNvSpPr>
      </xdr:nvSpPr>
      <xdr:spPr>
        <a:xfrm>
          <a:off x="314325" y="1409700"/>
          <a:ext cx="5391150" cy="191452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Chapter 9 Part K of the Listing Requirements of Bursa Malaysia Securities Berhad ("BMSB").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same accounting policies and methods of computation are followed in the interim financial statements as compared with the financial statements for the financial year ended 31 December 2007.
</a:t>
          </a:r>
        </a:p>
      </xdr:txBody>
    </xdr:sp>
    <xdr:clientData/>
  </xdr:twoCellAnchor>
  <xdr:twoCellAnchor>
    <xdr:from>
      <xdr:col>1</xdr:col>
      <xdr:colOff>9525</xdr:colOff>
      <xdr:row>49</xdr:row>
      <xdr:rowOff>28575</xdr:rowOff>
    </xdr:from>
    <xdr:to>
      <xdr:col>7</xdr:col>
      <xdr:colOff>838200</xdr:colOff>
      <xdr:row>52</xdr:row>
      <xdr:rowOff>0</xdr:rowOff>
    </xdr:to>
    <xdr:sp fLocksText="0">
      <xdr:nvSpPr>
        <xdr:cNvPr id="34" name="Text Box 11"/>
        <xdr:cNvSpPr txBox="1">
          <a:spLocks noChangeArrowheads="1"/>
        </xdr:cNvSpPr>
      </xdr:nvSpPr>
      <xdr:spPr>
        <a:xfrm>
          <a:off x="314325" y="7962900"/>
          <a:ext cx="5581650" cy="4572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204</xdr:row>
      <xdr:rowOff>9525</xdr:rowOff>
    </xdr:from>
    <xdr:to>
      <xdr:col>8</xdr:col>
      <xdr:colOff>304800</xdr:colOff>
      <xdr:row>208</xdr:row>
      <xdr:rowOff>0</xdr:rowOff>
    </xdr:to>
    <xdr:sp fLocksText="0">
      <xdr:nvSpPr>
        <xdr:cNvPr id="35" name="Text Box 12"/>
        <xdr:cNvSpPr txBox="1">
          <a:spLocks noChangeArrowheads="1"/>
        </xdr:cNvSpPr>
      </xdr:nvSpPr>
      <xdr:spPr>
        <a:xfrm>
          <a:off x="314325" y="33108900"/>
          <a:ext cx="5895975" cy="6381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effective tax rate for the periods presented above is lower than the statutory tax rate due to the availability of  reinvestment allowances, double tax deduction incentive for exports and tax incentive for approved food production project under agro-based industries in reducing taxable income. </a:t>
          </a:r>
        </a:p>
      </xdr:txBody>
    </xdr:sp>
    <xdr:clientData/>
  </xdr:twoCellAnchor>
  <xdr:twoCellAnchor>
    <xdr:from>
      <xdr:col>1</xdr:col>
      <xdr:colOff>9525</xdr:colOff>
      <xdr:row>277</xdr:row>
      <xdr:rowOff>85725</xdr:rowOff>
    </xdr:from>
    <xdr:to>
      <xdr:col>8</xdr:col>
      <xdr:colOff>304800</xdr:colOff>
      <xdr:row>279</xdr:row>
      <xdr:rowOff>19050</xdr:rowOff>
    </xdr:to>
    <xdr:sp fLocksText="0">
      <xdr:nvSpPr>
        <xdr:cNvPr id="36" name="Text Box 13"/>
        <xdr:cNvSpPr txBox="1">
          <a:spLocks noChangeArrowheads="1"/>
        </xdr:cNvSpPr>
      </xdr:nvSpPr>
      <xdr:spPr>
        <a:xfrm>
          <a:off x="314325" y="45024675"/>
          <a:ext cx="5895975" cy="2571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105</xdr:row>
      <xdr:rowOff>9525</xdr:rowOff>
    </xdr:from>
    <xdr:to>
      <xdr:col>8</xdr:col>
      <xdr:colOff>304800</xdr:colOff>
      <xdr:row>107</xdr:row>
      <xdr:rowOff>114300</xdr:rowOff>
    </xdr:to>
    <xdr:sp fLocksText="0">
      <xdr:nvSpPr>
        <xdr:cNvPr id="37" name="Text Box 14"/>
        <xdr:cNvSpPr txBox="1">
          <a:spLocks noChangeArrowheads="1"/>
        </xdr:cNvSpPr>
      </xdr:nvSpPr>
      <xdr:spPr>
        <a:xfrm>
          <a:off x="314325" y="17192625"/>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the valuation of property, plant and equipment since the last audited financial statement for the year ended 31 December 2007. </a:t>
          </a:r>
        </a:p>
      </xdr:txBody>
    </xdr:sp>
    <xdr:clientData/>
  </xdr:twoCellAnchor>
  <xdr:twoCellAnchor>
    <xdr:from>
      <xdr:col>1</xdr:col>
      <xdr:colOff>19050</xdr:colOff>
      <xdr:row>289</xdr:row>
      <xdr:rowOff>114300</xdr:rowOff>
    </xdr:from>
    <xdr:to>
      <xdr:col>8</xdr:col>
      <xdr:colOff>152400</xdr:colOff>
      <xdr:row>295</xdr:row>
      <xdr:rowOff>95250</xdr:rowOff>
    </xdr:to>
    <xdr:sp fLocksText="0">
      <xdr:nvSpPr>
        <xdr:cNvPr id="38" name="Text Box 15"/>
        <xdr:cNvSpPr txBox="1">
          <a:spLocks noChangeArrowheads="1"/>
        </xdr:cNvSpPr>
      </xdr:nvSpPr>
      <xdr:spPr>
        <a:xfrm>
          <a:off x="323850" y="46996350"/>
          <a:ext cx="5734050" cy="9525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For financial year ended 31 December 2007, the Board has recommended the final gross dividend of 1 sen per share (tax exempt), subject to the shareholders' approval at the Annual General Meeting. 
</a:t>
          </a:r>
          <a:r>
            <a:rPr lang="en-US" cap="none" sz="1000" b="0" i="0" u="none" baseline="0">
              <a:solidFill>
                <a:srgbClr val="000000"/>
              </a:solidFill>
              <a:latin typeface="Times New Roman"/>
              <a:ea typeface="Times New Roman"/>
              <a:cs typeface="Times New Roman"/>
            </a:rPr>
            <a:t>However, the recommendation of a first and final dividend of 2% (tax exempt) for the financial year ended 31 December 2007 by the Directors was not approved by the shareholders during the Annual General Meeting.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37</xdr:row>
      <xdr:rowOff>9525</xdr:rowOff>
    </xdr:from>
    <xdr:to>
      <xdr:col>7</xdr:col>
      <xdr:colOff>809625</xdr:colOff>
      <xdr:row>39</xdr:row>
      <xdr:rowOff>114300</xdr:rowOff>
    </xdr:to>
    <xdr:sp fLocksText="0">
      <xdr:nvSpPr>
        <xdr:cNvPr id="39" name="Text Box 16"/>
        <xdr:cNvSpPr txBox="1">
          <a:spLocks noChangeArrowheads="1"/>
        </xdr:cNvSpPr>
      </xdr:nvSpPr>
      <xdr:spPr>
        <a:xfrm>
          <a:off x="314325" y="6000750"/>
          <a:ext cx="55530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81</xdr:row>
      <xdr:rowOff>104775</xdr:rowOff>
    </xdr:from>
    <xdr:to>
      <xdr:col>8</xdr:col>
      <xdr:colOff>304800</xdr:colOff>
      <xdr:row>88</xdr:row>
      <xdr:rowOff>142875</xdr:rowOff>
    </xdr:to>
    <xdr:sp fLocksText="0">
      <xdr:nvSpPr>
        <xdr:cNvPr id="40" name="Text Box 17"/>
        <xdr:cNvSpPr txBox="1">
          <a:spLocks noChangeArrowheads="1"/>
        </xdr:cNvSpPr>
      </xdr:nvSpPr>
      <xdr:spPr>
        <a:xfrm>
          <a:off x="314325" y="13382625"/>
          <a:ext cx="5895975" cy="11715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Geographical segments
</a:t>
          </a:r>
          <a:r>
            <a:rPr lang="en-US" cap="none" sz="1000" b="0" i="0" u="none" baseline="0">
              <a:solidFill>
                <a:srgbClr val="000000"/>
              </a:solidFill>
              <a:latin typeface="Times New Roman"/>
              <a:ea typeface="Times New Roman"/>
              <a:cs typeface="Times New Roman"/>
            </a:rPr>
            <a:t>The Group's operations are principally carried out in Malaysia. In determining the geographical segments of the Group, sales of goods are based on the country in which the customer is located.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goods are mainly sold to customers located in Malaysia, Europe, America, Asia Pacific, Middle East and Africa.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364</xdr:row>
      <xdr:rowOff>9525</xdr:rowOff>
    </xdr:from>
    <xdr:to>
      <xdr:col>9</xdr:col>
      <xdr:colOff>0</xdr:colOff>
      <xdr:row>367</xdr:row>
      <xdr:rowOff>28575</xdr:rowOff>
    </xdr:to>
    <xdr:sp fLocksText="0">
      <xdr:nvSpPr>
        <xdr:cNvPr id="41" name="Text Box 18"/>
        <xdr:cNvSpPr txBox="1">
          <a:spLocks noChangeArrowheads="1"/>
        </xdr:cNvSpPr>
      </xdr:nvSpPr>
      <xdr:spPr>
        <a:xfrm>
          <a:off x="323850" y="58959750"/>
          <a:ext cx="6191250" cy="50482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t>
          </a:r>
          <a:r>
            <a:rPr lang="en-US" cap="none" sz="1000" b="0" i="0" u="none" baseline="0">
              <a:solidFill>
                <a:srgbClr val="000000"/>
              </a:solidFill>
              <a:latin typeface="Times New Roman"/>
              <a:ea typeface="Times New Roman"/>
              <a:cs typeface="Times New Roman"/>
            </a:rPr>
            <a:t>All permanent approvals for structures and ownership transfer of properties have been completed.</a:t>
          </a:r>
          <a:r>
            <a:rPr lang="en-US" cap="none" sz="1000" b="1"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340</xdr:row>
      <xdr:rowOff>9525</xdr:rowOff>
    </xdr:from>
    <xdr:to>
      <xdr:col>8</xdr:col>
      <xdr:colOff>228600</xdr:colOff>
      <xdr:row>342</xdr:row>
      <xdr:rowOff>114300</xdr:rowOff>
    </xdr:to>
    <xdr:sp fLocksText="0">
      <xdr:nvSpPr>
        <xdr:cNvPr id="42" name="Text Box 19"/>
        <xdr:cNvSpPr txBox="1">
          <a:spLocks noChangeArrowheads="1"/>
        </xdr:cNvSpPr>
      </xdr:nvSpPr>
      <xdr:spPr>
        <a:xfrm>
          <a:off x="314325" y="55054500"/>
          <a:ext cx="58197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Status of  finalised utilisation of proceeds arising from the Rights Issue, together with free detachable warrants exercise completed on 14 February 2008 amounting to RM66,000,000 are as follows:</a:t>
          </a:r>
        </a:p>
      </xdr:txBody>
    </xdr:sp>
    <xdr:clientData/>
  </xdr:twoCellAnchor>
  <xdr:twoCellAnchor>
    <xdr:from>
      <xdr:col>1</xdr:col>
      <xdr:colOff>9525</xdr:colOff>
      <xdr:row>63</xdr:row>
      <xdr:rowOff>9525</xdr:rowOff>
    </xdr:from>
    <xdr:to>
      <xdr:col>8</xdr:col>
      <xdr:colOff>304800</xdr:colOff>
      <xdr:row>66</xdr:row>
      <xdr:rowOff>85725</xdr:rowOff>
    </xdr:to>
    <xdr:sp fLocksText="0">
      <xdr:nvSpPr>
        <xdr:cNvPr id="43" name="Text Box 20"/>
        <xdr:cNvSpPr txBox="1">
          <a:spLocks noChangeArrowheads="1"/>
        </xdr:cNvSpPr>
      </xdr:nvSpPr>
      <xdr:spPr>
        <a:xfrm>
          <a:off x="314325" y="10191750"/>
          <a:ext cx="5895975" cy="5619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Business segments
</a:t>
          </a:r>
          <a:r>
            <a:rPr lang="en-US" cap="none" sz="1000" b="0" i="0" u="none" baseline="0">
              <a:solidFill>
                <a:srgbClr val="000000"/>
              </a:solidFill>
              <a:latin typeface="Times New Roman"/>
              <a:ea typeface="Times New Roman"/>
              <a:cs typeface="Times New Roman"/>
            </a:rPr>
            <a:t>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9525</xdr:colOff>
      <xdr:row>55</xdr:row>
      <xdr:rowOff>19050</xdr:rowOff>
    </xdr:from>
    <xdr:to>
      <xdr:col>7</xdr:col>
      <xdr:colOff>600075</xdr:colOff>
      <xdr:row>60</xdr:row>
      <xdr:rowOff>133350</xdr:rowOff>
    </xdr:to>
    <xdr:sp fLocksText="0">
      <xdr:nvSpPr>
        <xdr:cNvPr id="44" name="Text Box 21"/>
        <xdr:cNvSpPr txBox="1">
          <a:spLocks noChangeArrowheads="1"/>
        </xdr:cNvSpPr>
      </xdr:nvSpPr>
      <xdr:spPr>
        <a:xfrm>
          <a:off x="314325" y="8924925"/>
          <a:ext cx="5343525" cy="9048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latin typeface="Times New Roman"/>
              <a:ea typeface="Times New Roman"/>
              <a:cs typeface="Times New Roman"/>
            </a:rPr>
            <a:t>For financial year ended 31 December 2007, the Board has recommended the final gross dividend of 1 sen per share (tax exempt), subject to the shareholders' approval at the Annual General Meeting. 
</a:t>
          </a:r>
          <a:r>
            <a:rPr lang="en-US" cap="none" sz="1000" b="0" i="0" u="none" baseline="0">
              <a:solidFill>
                <a:srgbClr val="000000"/>
              </a:solidFill>
              <a:latin typeface="Times New Roman"/>
              <a:ea typeface="Times New Roman"/>
              <a:cs typeface="Times New Roman"/>
            </a:rPr>
            <a:t>However, the recommendation of a first and final dividend of 2% (tax exempt) for the financial year ended 31 December 2007 by the Directors was not approved by the shareholders during the Annual General Meeting.
</a:t>
          </a:r>
        </a:p>
      </xdr:txBody>
    </xdr:sp>
    <xdr:clientData/>
  </xdr:twoCellAnchor>
  <xdr:twoCellAnchor>
    <xdr:from>
      <xdr:col>1</xdr:col>
      <xdr:colOff>19050</xdr:colOff>
      <xdr:row>179</xdr:row>
      <xdr:rowOff>76200</xdr:rowOff>
    </xdr:from>
    <xdr:to>
      <xdr:col>8</xdr:col>
      <xdr:colOff>247650</xdr:colOff>
      <xdr:row>191</xdr:row>
      <xdr:rowOff>19050</xdr:rowOff>
    </xdr:to>
    <xdr:sp fLocksText="0">
      <xdr:nvSpPr>
        <xdr:cNvPr id="45" name="Text Box 22"/>
        <xdr:cNvSpPr txBox="1">
          <a:spLocks noChangeArrowheads="1"/>
        </xdr:cNvSpPr>
      </xdr:nvSpPr>
      <xdr:spPr>
        <a:xfrm>
          <a:off x="323850" y="29260800"/>
          <a:ext cx="5829300" cy="18859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Moving forward, the Group plans to move up the value chain by penetrating higher-end segments with enhanced modern designs and materials in tandem with its current growth in business volume.
The Group remains cautious of the potential impact of fluctuations in raw material prices (especially rubberwood) and continued appreciation of RM against USD on its competitiveness.
At the same time, other business and diversification opportunities are currently being explored.
</a:t>
          </a:r>
        </a:p>
      </xdr:txBody>
    </xdr:sp>
    <xdr:clientData/>
  </xdr:twoCellAnchor>
  <xdr:twoCellAnchor>
    <xdr:from>
      <xdr:col>1</xdr:col>
      <xdr:colOff>9525</xdr:colOff>
      <xdr:row>313</xdr:row>
      <xdr:rowOff>85725</xdr:rowOff>
    </xdr:from>
    <xdr:to>
      <xdr:col>9</xdr:col>
      <xdr:colOff>66675</xdr:colOff>
      <xdr:row>318</xdr:row>
      <xdr:rowOff>19050</xdr:rowOff>
    </xdr:to>
    <xdr:sp fLocksText="0">
      <xdr:nvSpPr>
        <xdr:cNvPr id="46" name="Text Box 23"/>
        <xdr:cNvSpPr txBox="1">
          <a:spLocks noChangeArrowheads="1"/>
        </xdr:cNvSpPr>
      </xdr:nvSpPr>
      <xdr:spPr>
        <a:xfrm>
          <a:off x="314325" y="50873025"/>
          <a:ext cx="6267450" cy="7429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calculation of the diluted earnings per share is based on the profit attributable to ordinary equity holders of the parent for the current quarter and cumulative year to date divided by the adjusted weighted average number of ordinary shares of RM0.50 each in issue and issuable under the exercise of share options granted under the DPS Employees' Share Option Scheme.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ccount\Peggy\Q2%2008\Copy%20of%20Q2%20JUN%2008-ADJ(le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IS (2)"/>
      <sheetName val="BS"/>
      <sheetName val="EQUITY"/>
      <sheetName val="CASHFLOW"/>
      <sheetName val="NOTE"/>
      <sheetName val="analysis IS"/>
      <sheetName val="analsis PL"/>
      <sheetName val="W1_P_L Conso"/>
      <sheetName val="W3_CF Conso"/>
      <sheetName val="W2_BS Conso"/>
      <sheetName val="Det BS"/>
      <sheetName val="Det P_L"/>
      <sheetName val="TOKO IND_P_L_BS"/>
      <sheetName val="DPSR_P_L_BS"/>
      <sheetName val="DPSP _P_L_BS"/>
      <sheetName val="HIDAYAT"/>
      <sheetName val="BIO"/>
      <sheetName val="DT _ P_L_BS"/>
      <sheetName val="Tax Summary"/>
      <sheetName val="Tax comp"/>
      <sheetName val="Deferred tax"/>
      <sheetName val="Capital Allowance"/>
      <sheetName val="Weighted Shares"/>
      <sheetName val="Consol Reserve"/>
      <sheetName val="Goodwill"/>
      <sheetName val="Sheet1"/>
    </sheetNames>
    <sheetDataSet>
      <sheetData sheetId="0">
        <row r="16">
          <cell r="B16">
            <v>46597.56809</v>
          </cell>
        </row>
        <row r="26">
          <cell r="B26">
            <v>4086.8749800000032</v>
          </cell>
          <cell r="D26">
            <v>4459.301040000006</v>
          </cell>
          <cell r="F26">
            <v>8330.141800000009</v>
          </cell>
          <cell r="H26">
            <v>8590.512629999997</v>
          </cell>
        </row>
        <row r="28">
          <cell r="B28">
            <v>-917.7623799999999</v>
          </cell>
          <cell r="D28">
            <v>-721.5962300000001</v>
          </cell>
          <cell r="F28">
            <v>-1774.97264</v>
          </cell>
          <cell r="H28">
            <v>-1192.2975800000002</v>
          </cell>
        </row>
        <row r="30">
          <cell r="B30">
            <v>3169.112600000003</v>
          </cell>
        </row>
        <row r="42">
          <cell r="B42">
            <v>2875.7856664000033</v>
          </cell>
          <cell r="F42">
            <v>6001.844584026098</v>
          </cell>
        </row>
      </sheetData>
      <sheetData sheetId="2">
        <row r="28">
          <cell r="B28">
            <v>28680.514909999998</v>
          </cell>
        </row>
        <row r="42">
          <cell r="B42">
            <v>27892.329619999997</v>
          </cell>
        </row>
      </sheetData>
      <sheetData sheetId="8">
        <row r="15">
          <cell r="F15">
            <v>43105.5</v>
          </cell>
          <cell r="G15">
            <v>288000</v>
          </cell>
          <cell r="P15">
            <v>86965927.59</v>
          </cell>
          <cell r="R15">
            <v>46597568.09</v>
          </cell>
        </row>
        <row r="29">
          <cell r="G29">
            <v>-100469.16</v>
          </cell>
        </row>
        <row r="31">
          <cell r="K31">
            <v>-554326.9336</v>
          </cell>
          <cell r="P31">
            <v>-554326.9336</v>
          </cell>
          <cell r="R31">
            <v>-293326.9336</v>
          </cell>
        </row>
        <row r="33">
          <cell r="F33">
            <v>-332676.69999999995</v>
          </cell>
        </row>
        <row r="35">
          <cell r="P35">
            <v>0</v>
          </cell>
        </row>
        <row r="39">
          <cell r="P39">
            <v>2.3576260901217063</v>
          </cell>
        </row>
        <row r="42">
          <cell r="O42">
            <v>968705.3</v>
          </cell>
        </row>
        <row r="43">
          <cell r="O43">
            <v>3659126.61</v>
          </cell>
        </row>
        <row r="44">
          <cell r="O44">
            <v>288000</v>
          </cell>
        </row>
        <row r="47">
          <cell r="O47">
            <v>0</v>
          </cell>
        </row>
      </sheetData>
      <sheetData sheetId="9">
        <row r="45">
          <cell r="N45">
            <v>9463914.940399997</v>
          </cell>
        </row>
        <row r="54">
          <cell r="N54">
            <v>-33705749.52</v>
          </cell>
        </row>
        <row r="64">
          <cell r="N64">
            <v>41813969.81</v>
          </cell>
        </row>
        <row r="68">
          <cell r="N68">
            <v>27434000.89</v>
          </cell>
        </row>
        <row r="73">
          <cell r="N73">
            <v>48870093.760000005</v>
          </cell>
        </row>
        <row r="75">
          <cell r="N75">
            <v>-3863957.64</v>
          </cell>
        </row>
      </sheetData>
      <sheetData sheetId="10">
        <row r="7">
          <cell r="N7">
            <v>131626192.78000002</v>
          </cell>
        </row>
        <row r="8">
          <cell r="N8">
            <v>7947237.8</v>
          </cell>
        </row>
        <row r="9">
          <cell r="N9">
            <v>14800000</v>
          </cell>
        </row>
        <row r="11">
          <cell r="N11">
            <v>5457568.56</v>
          </cell>
        </row>
        <row r="12">
          <cell r="N12">
            <v>8199.570000000065</v>
          </cell>
        </row>
        <row r="13">
          <cell r="N13">
            <v>12520</v>
          </cell>
        </row>
        <row r="14">
          <cell r="N14">
            <v>3697873</v>
          </cell>
        </row>
        <row r="17">
          <cell r="N17">
            <v>18066760</v>
          </cell>
        </row>
        <row r="18">
          <cell r="N18">
            <v>37822790.43</v>
          </cell>
        </row>
        <row r="21">
          <cell r="N21">
            <v>0</v>
          </cell>
        </row>
        <row r="23">
          <cell r="N23">
            <v>101015.73</v>
          </cell>
        </row>
        <row r="24">
          <cell r="H24">
            <v>47381199</v>
          </cell>
        </row>
        <row r="25">
          <cell r="N25">
            <v>1488894.32</v>
          </cell>
        </row>
        <row r="26">
          <cell r="N26">
            <v>24002</v>
          </cell>
        </row>
        <row r="30">
          <cell r="N30">
            <v>27166228.87</v>
          </cell>
        </row>
        <row r="39">
          <cell r="N39">
            <v>17628.2</v>
          </cell>
        </row>
        <row r="40">
          <cell r="N40">
            <v>560</v>
          </cell>
        </row>
        <row r="41">
          <cell r="N41">
            <v>28659862.95</v>
          </cell>
        </row>
        <row r="42">
          <cell r="N42">
            <v>20651.96</v>
          </cell>
        </row>
        <row r="44">
          <cell r="N44">
            <v>467662.534</v>
          </cell>
        </row>
        <row r="51">
          <cell r="N51">
            <v>132000000</v>
          </cell>
        </row>
        <row r="52">
          <cell r="N52">
            <v>1628654.43</v>
          </cell>
        </row>
        <row r="56">
          <cell r="N56">
            <v>38164425.59</v>
          </cell>
        </row>
        <row r="58">
          <cell r="N58">
            <v>6001842.2264</v>
          </cell>
        </row>
        <row r="60">
          <cell r="N60">
            <v>-1403609</v>
          </cell>
        </row>
        <row r="64">
          <cell r="N64">
            <v>0</v>
          </cell>
        </row>
        <row r="65">
          <cell r="N65">
            <v>27892329.619999997</v>
          </cell>
        </row>
        <row r="67">
          <cell r="N67">
            <v>7818016</v>
          </cell>
        </row>
      </sheetData>
      <sheetData sheetId="12">
        <row r="79">
          <cell r="F79">
            <v>280032</v>
          </cell>
          <cell r="G79">
            <v>729580</v>
          </cell>
        </row>
        <row r="89">
          <cell r="B89">
            <v>6821</v>
          </cell>
          <cell r="C89">
            <v>17508</v>
          </cell>
        </row>
        <row r="225">
          <cell r="B225">
            <v>18846.30007</v>
          </cell>
          <cell r="F225">
            <v>36005.38429</v>
          </cell>
        </row>
        <row r="226">
          <cell r="B226">
            <v>13353.212029999999</v>
          </cell>
          <cell r="F226">
            <v>23430.74571</v>
          </cell>
        </row>
        <row r="227">
          <cell r="B227">
            <v>7568.030870000001</v>
          </cell>
          <cell r="F227">
            <v>14288.759750000001</v>
          </cell>
        </row>
        <row r="228">
          <cell r="B228">
            <v>4652.15734</v>
          </cell>
          <cell r="F228">
            <v>7332.42433</v>
          </cell>
        </row>
        <row r="229">
          <cell r="B229">
            <v>1061.3538799999997</v>
          </cell>
          <cell r="F229">
            <v>3784.2773799999995</v>
          </cell>
        </row>
        <row r="230">
          <cell r="B230">
            <v>1116.5140000000001</v>
          </cell>
          <cell r="F230">
            <v>2124.33613</v>
          </cell>
        </row>
      </sheetData>
      <sheetData sheetId="23">
        <row r="17">
          <cell r="E17">
            <v>254571428.57142857</v>
          </cell>
        </row>
        <row r="22">
          <cell r="E22">
            <v>2.3576260901217063</v>
          </cell>
        </row>
        <row r="29">
          <cell r="E29">
            <v>2.3576260901217063</v>
          </cell>
        </row>
        <row r="39">
          <cell r="E39">
            <v>254571428.57142857</v>
          </cell>
        </row>
        <row r="44">
          <cell r="E44">
            <v>1.1296577444426918</v>
          </cell>
        </row>
        <row r="51">
          <cell r="E51">
            <v>1.1296577444426918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workbookViewId="0" topLeftCell="A19">
      <selection activeCell="A36" sqref="A36"/>
    </sheetView>
  </sheetViews>
  <sheetFormatPr defaultColWidth="9.140625" defaultRowHeight="12.75"/>
  <cols>
    <col min="1" max="1" width="35.140625" style="4" customWidth="1"/>
    <col min="2" max="2" width="12.57421875" style="3" customWidth="1"/>
    <col min="3" max="3" width="1.28515625" style="3" customWidth="1"/>
    <col min="4" max="4" width="12.57421875" style="5" customWidth="1"/>
    <col min="5" max="5" width="1.421875" style="3" customWidth="1"/>
    <col min="6" max="6" width="10.7109375" style="5" customWidth="1"/>
    <col min="7" max="7" width="1.421875" style="3" customWidth="1"/>
    <col min="8" max="8" width="12.28125" style="5" customWidth="1"/>
    <col min="9" max="9" width="1.1484375" style="3" customWidth="1"/>
    <col min="10" max="16384" width="9.140625" style="3" customWidth="1"/>
  </cols>
  <sheetData>
    <row r="1" spans="1:8" ht="11.25">
      <c r="A1" s="1" t="s">
        <v>0</v>
      </c>
      <c r="B1" s="2"/>
      <c r="C1" s="2"/>
      <c r="D1" s="2"/>
      <c r="E1" s="2"/>
      <c r="F1" s="2"/>
      <c r="G1" s="2"/>
      <c r="H1" s="2"/>
    </row>
    <row r="2" spans="1:8" ht="11.25">
      <c r="A2" s="1" t="s">
        <v>1</v>
      </c>
      <c r="B2" s="2"/>
      <c r="C2" s="2"/>
      <c r="D2" s="2"/>
      <c r="E2" s="2"/>
      <c r="F2" s="2"/>
      <c r="G2" s="2"/>
      <c r="H2" s="2"/>
    </row>
    <row r="3" spans="1:8" ht="11.25">
      <c r="A3" s="1"/>
      <c r="B3" s="2"/>
      <c r="C3" s="2"/>
      <c r="D3" s="2"/>
      <c r="E3" s="2"/>
      <c r="F3" s="2"/>
      <c r="G3" s="2"/>
      <c r="H3" s="2"/>
    </row>
    <row r="5" ht="11.25">
      <c r="A5" s="1" t="s">
        <v>2</v>
      </c>
    </row>
    <row r="6" ht="11.25">
      <c r="A6" s="1" t="s">
        <v>3</v>
      </c>
    </row>
    <row r="7" spans="1:8" ht="11.25">
      <c r="A7" s="1" t="s">
        <v>4</v>
      </c>
      <c r="B7" s="5"/>
      <c r="D7" s="6"/>
      <c r="H7" s="6"/>
    </row>
    <row r="8" spans="1:2" ht="11.25">
      <c r="A8" s="1"/>
      <c r="B8" s="5"/>
    </row>
    <row r="9" spans="1:8" ht="11.25">
      <c r="A9" s="1"/>
      <c r="B9" s="113" t="s">
        <v>5</v>
      </c>
      <c r="C9" s="113"/>
      <c r="D9" s="113"/>
      <c r="F9" s="113" t="s">
        <v>6</v>
      </c>
      <c r="G9" s="113"/>
      <c r="H9" s="113"/>
    </row>
    <row r="10" spans="2:8" ht="11.25">
      <c r="B10" s="5"/>
      <c r="C10" s="5"/>
      <c r="D10" s="5" t="s">
        <v>7</v>
      </c>
      <c r="E10" s="5"/>
      <c r="G10" s="5"/>
      <c r="H10" s="5" t="s">
        <v>7</v>
      </c>
    </row>
    <row r="11" spans="2:8" ht="11.25">
      <c r="B11" s="5" t="s">
        <v>8</v>
      </c>
      <c r="C11" s="5"/>
      <c r="D11" s="5" t="s">
        <v>9</v>
      </c>
      <c r="E11" s="5"/>
      <c r="F11" s="5" t="s">
        <v>8</v>
      </c>
      <c r="G11" s="5"/>
      <c r="H11" s="5" t="s">
        <v>9</v>
      </c>
    </row>
    <row r="12" spans="2:8" ht="11.25">
      <c r="B12" s="5" t="s">
        <v>10</v>
      </c>
      <c r="C12" s="5"/>
      <c r="D12" s="5" t="s">
        <v>10</v>
      </c>
      <c r="E12" s="5"/>
      <c r="F12" s="5" t="s">
        <v>11</v>
      </c>
      <c r="G12" s="5"/>
      <c r="H12" s="5" t="s">
        <v>12</v>
      </c>
    </row>
    <row r="13" spans="2:8" ht="11.25">
      <c r="B13" s="5" t="s">
        <v>13</v>
      </c>
      <c r="C13" s="5"/>
      <c r="D13" s="5" t="s">
        <v>14</v>
      </c>
      <c r="E13" s="5"/>
      <c r="F13" s="5" t="s">
        <v>13</v>
      </c>
      <c r="G13" s="5"/>
      <c r="H13" s="5" t="s">
        <v>14</v>
      </c>
    </row>
    <row r="14" spans="2:8" ht="11.25">
      <c r="B14" s="5" t="s">
        <v>15</v>
      </c>
      <c r="D14" s="5" t="s">
        <v>15</v>
      </c>
      <c r="F14" s="5" t="s">
        <v>15</v>
      </c>
      <c r="H14" s="5" t="s">
        <v>15</v>
      </c>
    </row>
    <row r="16" spans="1:8" s="9" customFormat="1" ht="12" thickBot="1">
      <c r="A16" s="7" t="s">
        <v>16</v>
      </c>
      <c r="B16" s="8">
        <f>+'[1]W1_P_L Conso'!R15/1000</f>
        <v>46597.56809</v>
      </c>
      <c r="C16" s="8"/>
      <c r="D16" s="8">
        <v>36476.503820000005</v>
      </c>
      <c r="E16" s="8"/>
      <c r="F16" s="8">
        <f>'[1]W1_P_L Conso'!P15/1000</f>
        <v>86965.92759</v>
      </c>
      <c r="G16" s="8"/>
      <c r="H16" s="8">
        <v>66569.09555</v>
      </c>
    </row>
    <row r="17" spans="1:8" s="9" customFormat="1" ht="12" thickTop="1">
      <c r="A17" s="10"/>
      <c r="B17" s="11"/>
      <c r="C17" s="11"/>
      <c r="D17" s="11"/>
      <c r="E17" s="11"/>
      <c r="F17" s="11"/>
      <c r="G17" s="11"/>
      <c r="H17" s="11"/>
    </row>
    <row r="18" spans="1:8" s="9" customFormat="1" ht="11.25">
      <c r="A18" s="10" t="s">
        <v>17</v>
      </c>
      <c r="B18" s="11">
        <f>'[1]IS'!B26-3-1205</f>
        <v>2878.8749800000032</v>
      </c>
      <c r="C18" s="11"/>
      <c r="D18" s="11">
        <f>'[1]IS'!D26</f>
        <v>4459.301040000006</v>
      </c>
      <c r="E18" s="11"/>
      <c r="F18" s="11">
        <f>'[1]IS'!F26+86-2168</f>
        <v>6248.1418000000085</v>
      </c>
      <c r="G18" s="11"/>
      <c r="H18" s="11">
        <f>'[1]IS'!H26</f>
        <v>8590.512629999997</v>
      </c>
    </row>
    <row r="19" spans="1:8" s="9" customFormat="1" ht="11.25">
      <c r="A19" s="10"/>
      <c r="B19" s="11"/>
      <c r="C19" s="11"/>
      <c r="D19" s="11"/>
      <c r="E19" s="11"/>
      <c r="F19" s="11"/>
      <c r="G19" s="11"/>
      <c r="H19" s="11"/>
    </row>
    <row r="20" spans="1:8" s="9" customFormat="1" ht="11.25">
      <c r="A20" s="10" t="s">
        <v>18</v>
      </c>
      <c r="B20" s="11">
        <v>1208</v>
      </c>
      <c r="C20" s="11"/>
      <c r="D20" s="11">
        <v>0</v>
      </c>
      <c r="E20" s="11"/>
      <c r="F20" s="11">
        <v>2083</v>
      </c>
      <c r="G20" s="11"/>
      <c r="H20" s="11">
        <v>0</v>
      </c>
    </row>
    <row r="21" spans="1:8" s="9" customFormat="1" ht="11.25">
      <c r="A21" s="10"/>
      <c r="B21" s="12"/>
      <c r="C21" s="11"/>
      <c r="D21" s="12"/>
      <c r="E21" s="11"/>
      <c r="F21" s="12"/>
      <c r="G21" s="13"/>
      <c r="H21" s="12"/>
    </row>
    <row r="22" spans="1:8" s="9" customFormat="1" ht="11.25">
      <c r="A22" s="4" t="s">
        <v>19</v>
      </c>
      <c r="B22" s="11">
        <f>'[1]IS'!B28</f>
        <v>-917.7623799999999</v>
      </c>
      <c r="C22" s="11"/>
      <c r="D22" s="11">
        <f>'[1]IS'!D28</f>
        <v>-721.5962300000001</v>
      </c>
      <c r="E22" s="11"/>
      <c r="F22" s="11">
        <f>'[1]IS'!F28</f>
        <v>-1774.97264</v>
      </c>
      <c r="G22" s="11"/>
      <c r="H22" s="11">
        <f>'[1]IS'!H28</f>
        <v>-1192.2975800000002</v>
      </c>
    </row>
    <row r="23" spans="1:8" s="9" customFormat="1" ht="11.25">
      <c r="A23" s="4"/>
      <c r="B23" s="14"/>
      <c r="C23" s="11"/>
      <c r="D23" s="14"/>
      <c r="E23" s="11"/>
      <c r="F23" s="14"/>
      <c r="G23" s="11"/>
      <c r="H23" s="14"/>
    </row>
    <row r="24" spans="1:8" s="9" customFormat="1" ht="11.25">
      <c r="A24" s="1" t="s">
        <v>20</v>
      </c>
      <c r="B24" s="11">
        <f>SUM(B18:B23)</f>
        <v>3169.112600000003</v>
      </c>
      <c r="C24" s="11"/>
      <c r="D24" s="11">
        <f>SUM(D18:D23)-1</f>
        <v>3736.7048100000056</v>
      </c>
      <c r="E24" s="11"/>
      <c r="F24" s="11">
        <f>SUM(F18:F23)</f>
        <v>6556.169160000009</v>
      </c>
      <c r="G24" s="11"/>
      <c r="H24" s="11">
        <f>SUM(H18:H23)+1</f>
        <v>7399.215049999997</v>
      </c>
    </row>
    <row r="25" spans="1:8" s="9" customFormat="1" ht="11.25">
      <c r="A25" s="4"/>
      <c r="B25" s="12"/>
      <c r="C25" s="11"/>
      <c r="D25" s="12"/>
      <c r="E25" s="11"/>
      <c r="F25" s="12"/>
      <c r="G25" s="11"/>
      <c r="H25" s="12"/>
    </row>
    <row r="26" spans="1:8" s="9" customFormat="1" ht="11.25">
      <c r="A26" s="4" t="s">
        <v>21</v>
      </c>
      <c r="B26" s="11">
        <f>+'[1]W1_P_L Conso'!R31/1000</f>
        <v>-293.32693359999996</v>
      </c>
      <c r="C26" s="11"/>
      <c r="D26" s="11">
        <v>-451.5</v>
      </c>
      <c r="E26" s="11"/>
      <c r="F26" s="11">
        <f>'[1]W1_P_L Conso'!P31/1000</f>
        <v>-554.3269336</v>
      </c>
      <c r="G26" s="11"/>
      <c r="H26" s="11">
        <v>-847.9</v>
      </c>
    </row>
    <row r="27" spans="1:8" s="9" customFormat="1" ht="11.25">
      <c r="A27" s="4"/>
      <c r="B27" s="14"/>
      <c r="C27" s="11"/>
      <c r="D27" s="14"/>
      <c r="E27" s="11"/>
      <c r="F27" s="14"/>
      <c r="G27" s="11"/>
      <c r="H27" s="14"/>
    </row>
    <row r="28" spans="1:8" s="9" customFormat="1" ht="11.25">
      <c r="A28" s="1" t="s">
        <v>22</v>
      </c>
      <c r="B28" s="15">
        <f>SUM(B24:B27)</f>
        <v>2875.7856664000033</v>
      </c>
      <c r="C28" s="11"/>
      <c r="D28" s="15">
        <v>3285.2048100000056</v>
      </c>
      <c r="E28" s="11"/>
      <c r="F28" s="15">
        <f>SUM(F24:F27)</f>
        <v>6001.842226400008</v>
      </c>
      <c r="G28" s="11"/>
      <c r="H28" s="15">
        <v>6551.315049999997</v>
      </c>
    </row>
    <row r="29" spans="1:8" s="9" customFormat="1" ht="11.25">
      <c r="A29" s="10"/>
      <c r="B29" s="12"/>
      <c r="C29" s="11"/>
      <c r="D29" s="12"/>
      <c r="E29" s="11"/>
      <c r="F29" s="12"/>
      <c r="G29" s="11"/>
      <c r="H29" s="12"/>
    </row>
    <row r="30" spans="1:8" s="9" customFormat="1" ht="11.25">
      <c r="A30" s="4" t="s">
        <v>23</v>
      </c>
      <c r="B30" s="11">
        <f>'[1]W1_P_L Conso'!P35/1000</f>
        <v>0</v>
      </c>
      <c r="C30" s="11"/>
      <c r="D30" s="11">
        <v>0</v>
      </c>
      <c r="E30" s="11"/>
      <c r="F30" s="11">
        <f>'[1]W1_P_L Conso'!P35/1000</f>
        <v>0</v>
      </c>
      <c r="G30" s="11"/>
      <c r="H30" s="11">
        <v>0</v>
      </c>
    </row>
    <row r="31" spans="1:8" s="9" customFormat="1" ht="11.25">
      <c r="A31" s="4"/>
      <c r="B31" s="16"/>
      <c r="C31" s="11"/>
      <c r="D31" s="16"/>
      <c r="E31" s="11"/>
      <c r="F31" s="16"/>
      <c r="G31" s="11"/>
      <c r="H31" s="16"/>
    </row>
    <row r="32" spans="1:8" s="9" customFormat="1" ht="11.25" hidden="1">
      <c r="A32" s="4" t="s">
        <v>24</v>
      </c>
      <c r="B32" s="11">
        <f>SUM(B28:B31)</f>
        <v>2875.7856664000033</v>
      </c>
      <c r="C32" s="11"/>
      <c r="D32" s="11">
        <v>3285.2048100000056</v>
      </c>
      <c r="E32" s="11"/>
      <c r="F32" s="11">
        <f>SUM(F28:F31)</f>
        <v>6001.842226400008</v>
      </c>
      <c r="G32" s="11"/>
      <c r="H32" s="11">
        <v>6551.315049999997</v>
      </c>
    </row>
    <row r="33" spans="1:8" s="9" customFormat="1" ht="11.25" hidden="1">
      <c r="A33" s="4"/>
      <c r="B33" s="11"/>
      <c r="C33" s="11"/>
      <c r="D33" s="11"/>
      <c r="E33" s="11"/>
      <c r="F33" s="11"/>
      <c r="G33" s="11"/>
      <c r="H33" s="11"/>
    </row>
    <row r="34" spans="1:8" s="9" customFormat="1" ht="11.25" hidden="1">
      <c r="A34" s="4" t="s">
        <v>25</v>
      </c>
      <c r="B34" s="11" t="e">
        <f>'[1]W1_P_L Conso'!#REF!/1000</f>
        <v>#REF!</v>
      </c>
      <c r="C34" s="11"/>
      <c r="D34" s="11">
        <v>0</v>
      </c>
      <c r="E34" s="11"/>
      <c r="F34" s="11">
        <f>'[1]W1_P_L Conso'!P39/1000</f>
        <v>0.0023576260901217064</v>
      </c>
      <c r="G34" s="11"/>
      <c r="H34" s="11">
        <v>0</v>
      </c>
    </row>
    <row r="35" spans="1:8" s="9" customFormat="1" ht="11.25" hidden="1">
      <c r="A35" s="10"/>
      <c r="B35" s="16"/>
      <c r="C35" s="11"/>
      <c r="D35" s="16"/>
      <c r="E35" s="11"/>
      <c r="F35" s="11"/>
      <c r="G35" s="11"/>
      <c r="H35" s="16"/>
    </row>
    <row r="36" spans="1:8" s="9" customFormat="1" ht="22.5" thickBot="1">
      <c r="A36" s="17" t="s">
        <v>26</v>
      </c>
      <c r="B36" s="18">
        <f>SUM(B28:B31)</f>
        <v>2875.7856664000033</v>
      </c>
      <c r="C36" s="11"/>
      <c r="D36" s="18">
        <v>3285.2048100000056</v>
      </c>
      <c r="E36" s="11"/>
      <c r="F36" s="19">
        <f>SUM(F32:F35)</f>
        <v>6001.844584026098</v>
      </c>
      <c r="G36" s="11"/>
      <c r="H36" s="18">
        <v>6551.315049999997</v>
      </c>
    </row>
    <row r="37" spans="1:8" s="9" customFormat="1" ht="12" thickTop="1">
      <c r="A37" s="4"/>
      <c r="B37" s="11"/>
      <c r="C37" s="11"/>
      <c r="D37" s="11"/>
      <c r="E37" s="11"/>
      <c r="F37" s="11"/>
      <c r="G37" s="11"/>
      <c r="H37" s="11"/>
    </row>
    <row r="38" spans="1:8" s="9" customFormat="1" ht="11.25">
      <c r="A38" s="4"/>
      <c r="B38" s="11"/>
      <c r="C38" s="11"/>
      <c r="D38" s="11"/>
      <c r="E38" s="11"/>
      <c r="F38" s="11"/>
      <c r="G38" s="11"/>
      <c r="H38" s="11"/>
    </row>
    <row r="39" spans="1:8" s="9" customFormat="1" ht="11.25">
      <c r="A39" s="4" t="s">
        <v>27</v>
      </c>
      <c r="B39" s="16">
        <f>+'[1]Weighted Shares'!E39/1000</f>
        <v>254571.42857142858</v>
      </c>
      <c r="C39" s="11"/>
      <c r="D39" s="16">
        <v>132000</v>
      </c>
      <c r="E39" s="11"/>
      <c r="F39" s="16">
        <f>+'[1]Weighted Shares'!E17/1000</f>
        <v>254571.42857142858</v>
      </c>
      <c r="G39" s="11"/>
      <c r="H39" s="16">
        <v>132000</v>
      </c>
    </row>
    <row r="40" spans="1:8" s="9" customFormat="1" ht="11.25">
      <c r="A40" s="4"/>
      <c r="B40" s="20"/>
      <c r="C40" s="11"/>
      <c r="D40" s="11"/>
      <c r="E40" s="11"/>
      <c r="F40" s="20"/>
      <c r="G40" s="11"/>
      <c r="H40" s="20"/>
    </row>
    <row r="41" spans="1:8" s="9" customFormat="1" ht="11.25">
      <c r="A41" s="21" t="s">
        <v>28</v>
      </c>
      <c r="B41" s="20"/>
      <c r="C41" s="11"/>
      <c r="D41" s="11"/>
      <c r="E41" s="11"/>
      <c r="F41" s="20"/>
      <c r="G41" s="11"/>
      <c r="H41" s="20"/>
    </row>
    <row r="42" spans="1:8" s="9" customFormat="1" ht="12" thickBot="1">
      <c r="A42" s="21" t="s">
        <v>29</v>
      </c>
      <c r="B42" s="22">
        <f>'[1]Weighted Shares'!E44</f>
        <v>1.1296577444426918</v>
      </c>
      <c r="C42" s="23"/>
      <c r="D42" s="22">
        <v>2.4895490984848547</v>
      </c>
      <c r="E42" s="23"/>
      <c r="F42" s="22">
        <f>'[1]Weighted Shares'!E22</f>
        <v>2.3576260901217063</v>
      </c>
      <c r="G42" s="11"/>
      <c r="H42" s="22">
        <v>4.96387503787879</v>
      </c>
    </row>
    <row r="43" spans="1:8" s="9" customFormat="1" ht="12.75" thickBot="1" thickTop="1">
      <c r="A43" s="21" t="s">
        <v>30</v>
      </c>
      <c r="B43" s="22">
        <f>'[1]Weighted Shares'!E51</f>
        <v>1.1296577444426918</v>
      </c>
      <c r="C43" s="23"/>
      <c r="D43" s="22">
        <v>2.4600840014672807</v>
      </c>
      <c r="E43" s="23"/>
      <c r="F43" s="22">
        <f>+'[1]Weighted Shares'!E29</f>
        <v>2.3576260901217063</v>
      </c>
      <c r="G43" s="11"/>
      <c r="H43" s="22">
        <v>4.9051250177794765</v>
      </c>
    </row>
  </sheetData>
  <sheetProtection password="E7B9" sheet="1" objects="1" scenarios="1"/>
  <mergeCells count="2">
    <mergeCell ref="B9:D9"/>
    <mergeCell ref="F9:H9"/>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J80"/>
  <sheetViews>
    <sheetView workbookViewId="0" topLeftCell="A19">
      <selection activeCell="H27" sqref="H27"/>
    </sheetView>
  </sheetViews>
  <sheetFormatPr defaultColWidth="9.140625" defaultRowHeight="12.75"/>
  <cols>
    <col min="1" max="1" width="65.57421875" style="3" customWidth="1"/>
    <col min="2" max="2" width="12.57421875" style="3" customWidth="1"/>
    <col min="3" max="3" width="1.7109375" style="3" customWidth="1"/>
    <col min="4" max="4" width="12.57421875" style="5" customWidth="1"/>
    <col min="5" max="5" width="1.57421875" style="3" customWidth="1"/>
    <col min="6" max="16384" width="9.140625" style="3" customWidth="1"/>
  </cols>
  <sheetData>
    <row r="1" ht="11.25">
      <c r="A1" s="2" t="s">
        <v>0</v>
      </c>
    </row>
    <row r="2" ht="11.25">
      <c r="A2" s="2" t="s">
        <v>1</v>
      </c>
    </row>
    <row r="3" ht="11.25">
      <c r="A3" s="2"/>
    </row>
    <row r="5" ht="11.25">
      <c r="A5" s="24" t="s">
        <v>31</v>
      </c>
    </row>
    <row r="6" ht="11.25">
      <c r="A6" s="24" t="s">
        <v>4</v>
      </c>
    </row>
    <row r="7" ht="11.25">
      <c r="B7" s="5"/>
    </row>
    <row r="8" spans="2:4" ht="11.25">
      <c r="B8" s="5"/>
      <c r="D8" s="5" t="s">
        <v>32</v>
      </c>
    </row>
    <row r="9" spans="2:4" ht="11.25">
      <c r="B9" s="5" t="s">
        <v>33</v>
      </c>
      <c r="D9" s="5" t="s">
        <v>34</v>
      </c>
    </row>
    <row r="10" spans="2:4" ht="11.25">
      <c r="B10" s="5" t="s">
        <v>35</v>
      </c>
      <c r="D10" s="5" t="s">
        <v>36</v>
      </c>
    </row>
    <row r="11" spans="2:4" ht="11.25">
      <c r="B11" s="5" t="s">
        <v>10</v>
      </c>
      <c r="D11" s="5" t="s">
        <v>37</v>
      </c>
    </row>
    <row r="12" spans="2:4" ht="11.25">
      <c r="B12" s="5" t="s">
        <v>13</v>
      </c>
      <c r="D12" s="25" t="s">
        <v>38</v>
      </c>
    </row>
    <row r="13" spans="2:4" ht="11.25">
      <c r="B13" s="5" t="s">
        <v>15</v>
      </c>
      <c r="D13" s="5" t="s">
        <v>15</v>
      </c>
    </row>
    <row r="15" spans="1:4" s="9" customFormat="1" ht="11.25">
      <c r="A15" s="26" t="s">
        <v>39</v>
      </c>
      <c r="B15" s="9">
        <f>+'[1]W2_BS Conso'!N7/1000+'[1]W2_BS Conso'!N11/1000+'[1]W2_BS Conso'!N12/1000+'[1]W2_BS Conso'!N13/1000</f>
        <v>137104.48091</v>
      </c>
      <c r="C15" s="11"/>
      <c r="D15" s="11">
        <f>110936865/1000</f>
        <v>110936.865</v>
      </c>
    </row>
    <row r="16" spans="1:4" s="9" customFormat="1" ht="11.25">
      <c r="A16" s="26" t="s">
        <v>40</v>
      </c>
      <c r="B16" s="9">
        <f>'[1]W2_BS Conso'!N8/1000+'[1]W2_BS Conso'!N14/1000</f>
        <v>11645.1108</v>
      </c>
      <c r="C16" s="11"/>
      <c r="D16" s="11">
        <f>7181334/1000</f>
        <v>7181.334</v>
      </c>
    </row>
    <row r="17" spans="1:4" s="9" customFormat="1" ht="11.25">
      <c r="A17" s="26" t="s">
        <v>41</v>
      </c>
      <c r="B17" s="9">
        <f>+'[1]W2_BS Conso'!N9/1000</f>
        <v>14800</v>
      </c>
      <c r="C17" s="11"/>
      <c r="D17" s="11">
        <f>14800000/1000</f>
        <v>14800</v>
      </c>
    </row>
    <row r="18" spans="1:4" s="9" customFormat="1" ht="11.25" hidden="1">
      <c r="A18" s="26" t="s">
        <v>42</v>
      </c>
      <c r="B18" s="9">
        <v>0</v>
      </c>
      <c r="C18" s="11"/>
      <c r="D18" s="11">
        <v>0</v>
      </c>
    </row>
    <row r="19" spans="1:4" s="9" customFormat="1" ht="11.25">
      <c r="A19" s="26" t="s">
        <v>43</v>
      </c>
      <c r="B19" s="9">
        <v>0</v>
      </c>
      <c r="C19" s="11"/>
      <c r="D19" s="11">
        <f>1403609/1000</f>
        <v>1403.609</v>
      </c>
    </row>
    <row r="20" spans="1:4" s="9" customFormat="1" ht="11.25">
      <c r="A20" s="26"/>
      <c r="B20" s="27">
        <f>SUM(B15:B19)</f>
        <v>163549.59171</v>
      </c>
      <c r="C20" s="11"/>
      <c r="D20" s="28">
        <f>SUM(D15:D19)</f>
        <v>134321.80800000002</v>
      </c>
    </row>
    <row r="21" spans="1:4" s="9" customFormat="1" ht="11.25">
      <c r="A21" s="26" t="s">
        <v>44</v>
      </c>
      <c r="B21" s="27"/>
      <c r="C21" s="11"/>
      <c r="D21" s="28"/>
    </row>
    <row r="22" spans="1:4" s="9" customFormat="1" ht="11.25">
      <c r="A22" s="9" t="s">
        <v>45</v>
      </c>
      <c r="B22" s="29">
        <f>+'[1]W2_BS Conso'!N17/1000</f>
        <v>18066.76</v>
      </c>
      <c r="C22" s="11"/>
      <c r="D22" s="30">
        <f>16791536/1000</f>
        <v>16791.536</v>
      </c>
    </row>
    <row r="23" spans="1:4" s="9" customFormat="1" ht="11.25">
      <c r="A23" s="9" t="s">
        <v>46</v>
      </c>
      <c r="B23" s="29">
        <f>+'[1]W2_BS Conso'!N18/1000+'[1]W2_BS Conso'!N21/1000+'[1]W2_BS Conso'!N26/1000</f>
        <v>37846.79243</v>
      </c>
      <c r="C23" s="11"/>
      <c r="D23" s="30">
        <f>33194556/1000</f>
        <v>33194.556</v>
      </c>
    </row>
    <row r="24" spans="1:4" s="9" customFormat="1" ht="11.25">
      <c r="A24" s="9" t="s">
        <v>47</v>
      </c>
      <c r="B24" s="29">
        <f>+'[1]W2_BS Conso'!N23/1000</f>
        <v>101.01572999999999</v>
      </c>
      <c r="C24" s="11"/>
      <c r="D24" s="30">
        <f>320553/1000</f>
        <v>320.553</v>
      </c>
    </row>
    <row r="25" spans="1:4" s="9" customFormat="1" ht="11.25">
      <c r="A25" s="9" t="s">
        <v>48</v>
      </c>
      <c r="B25" s="31">
        <f>+'[1]W2_BS Conso'!N25/1000+'[1]W2_BS Conso'!H24/1000</f>
        <v>48870.09332</v>
      </c>
      <c r="C25" s="11"/>
      <c r="D25" s="32">
        <f>33077090/1000</f>
        <v>33077.09</v>
      </c>
    </row>
    <row r="26" spans="2:4" s="9" customFormat="1" ht="11.25">
      <c r="B26" s="31">
        <f>SUM(B22:B25)</f>
        <v>104884.66148</v>
      </c>
      <c r="C26" s="11"/>
      <c r="D26" s="32">
        <f>SUM(D22:D25)</f>
        <v>83383.73499999999</v>
      </c>
    </row>
    <row r="27" spans="1:4" s="9" customFormat="1" ht="11.25">
      <c r="A27" s="26" t="s">
        <v>49</v>
      </c>
      <c r="B27" s="29"/>
      <c r="C27" s="11"/>
      <c r="D27" s="30"/>
    </row>
    <row r="28" spans="1:4" s="9" customFormat="1" ht="11.25">
      <c r="A28" s="9" t="s">
        <v>50</v>
      </c>
      <c r="B28" s="29">
        <f>+'[1]W2_BS Conso'!N41/1000+'[1]W2_BS Conso'!N42/1000</f>
        <v>28680.514909999998</v>
      </c>
      <c r="C28" s="11"/>
      <c r="D28" s="30">
        <f>35656620/1000</f>
        <v>35656.62</v>
      </c>
    </row>
    <row r="29" spans="1:4" s="9" customFormat="1" ht="11.25">
      <c r="A29" s="9" t="s">
        <v>51</v>
      </c>
      <c r="B29" s="29">
        <f>+'[1]W2_BS Conso'!N30/1000+'[1]W2_BS Conso'!N39/1000+'[1]W2_BS Conso'!N40/1000</f>
        <v>27184.417070000003</v>
      </c>
      <c r="C29" s="11"/>
      <c r="D29" s="30">
        <f>21189205/1000</f>
        <v>21189.205</v>
      </c>
    </row>
    <row r="30" spans="1:10" s="9" customFormat="1" ht="11.25">
      <c r="A30" s="9" t="s">
        <v>21</v>
      </c>
      <c r="B30" s="29">
        <f>+'[1]W2_BS Conso'!N44/1000</f>
        <v>467.662534</v>
      </c>
      <c r="C30" s="11"/>
      <c r="D30" s="30">
        <v>0</v>
      </c>
      <c r="F30" s="33"/>
      <c r="G30" s="33"/>
      <c r="H30" s="33"/>
      <c r="I30" s="33"/>
      <c r="J30" s="33"/>
    </row>
    <row r="31" spans="2:10" s="9" customFormat="1" ht="11.25">
      <c r="B31" s="34">
        <f>SUM(B28:B30)</f>
        <v>56332.594514000004</v>
      </c>
      <c r="C31" s="11"/>
      <c r="D31" s="35">
        <f>SUM(D28:D30)</f>
        <v>56845.825000000004</v>
      </c>
      <c r="F31" s="33"/>
      <c r="G31" s="33"/>
      <c r="H31" s="33"/>
      <c r="I31" s="33"/>
      <c r="J31" s="33"/>
    </row>
    <row r="32" spans="3:10" s="9" customFormat="1" ht="11.25">
      <c r="C32" s="11"/>
      <c r="D32" s="11"/>
      <c r="F32" s="33"/>
      <c r="G32" s="33"/>
      <c r="H32" s="33"/>
      <c r="I32" s="33"/>
      <c r="J32" s="33"/>
    </row>
    <row r="33" spans="1:10" s="9" customFormat="1" ht="11.25">
      <c r="A33" s="26" t="s">
        <v>52</v>
      </c>
      <c r="B33" s="9">
        <f>B26-B31</f>
        <v>48552.06696599999</v>
      </c>
      <c r="C33" s="11"/>
      <c r="D33" s="11">
        <f>D26-D31</f>
        <v>26537.90999999998</v>
      </c>
      <c r="F33" s="33"/>
      <c r="G33" s="33"/>
      <c r="H33" s="33"/>
      <c r="I33" s="33"/>
      <c r="J33" s="33"/>
    </row>
    <row r="34" spans="3:10" s="9" customFormat="1" ht="11.25">
      <c r="C34" s="11"/>
      <c r="D34" s="11"/>
      <c r="F34" s="33"/>
      <c r="G34" s="33"/>
      <c r="H34" s="33"/>
      <c r="I34" s="33"/>
      <c r="J34" s="33"/>
    </row>
    <row r="35" spans="2:10" s="9" customFormat="1" ht="12" thickBot="1">
      <c r="B35" s="36">
        <f>B20+B33</f>
        <v>212101.658676</v>
      </c>
      <c r="C35" s="11"/>
      <c r="D35" s="19">
        <f>D20+D33</f>
        <v>160859.718</v>
      </c>
      <c r="F35" s="33"/>
      <c r="G35" s="33"/>
      <c r="H35" s="33"/>
      <c r="I35" s="33"/>
      <c r="J35" s="33"/>
    </row>
    <row r="36" spans="3:10" s="9" customFormat="1" ht="12" thickTop="1">
      <c r="C36" s="11"/>
      <c r="D36" s="11"/>
      <c r="F36" s="33"/>
      <c r="G36" s="33"/>
      <c r="H36" s="33"/>
      <c r="I36" s="33"/>
      <c r="J36" s="33"/>
    </row>
    <row r="37" spans="1:10" ht="11.25">
      <c r="A37" s="24" t="s">
        <v>53</v>
      </c>
      <c r="B37" s="9">
        <f>+'[1]W2_BS Conso'!N51/1000</f>
        <v>132000</v>
      </c>
      <c r="C37" s="37"/>
      <c r="D37" s="11">
        <v>66000</v>
      </c>
      <c r="F37" s="33"/>
      <c r="G37" s="33"/>
      <c r="H37" s="33"/>
      <c r="I37" s="33"/>
      <c r="J37" s="33"/>
    </row>
    <row r="38" spans="1:10" ht="11.25">
      <c r="A38" s="24" t="s">
        <v>54</v>
      </c>
      <c r="B38" s="9">
        <f>+'[1]W2_BS Conso'!N52/1000+'[1]W2_BS Conso'!N56/1000+'[1]W2_BS Conso'!N58/1000+'[1]W2_BS Conso'!N60/1000</f>
        <v>44391.31324640001</v>
      </c>
      <c r="C38" s="37"/>
      <c r="D38" s="11">
        <f>39793080/1000</f>
        <v>39793.08</v>
      </c>
      <c r="F38" s="38"/>
      <c r="G38" s="33"/>
      <c r="H38" s="33"/>
      <c r="I38" s="33"/>
      <c r="J38" s="33"/>
    </row>
    <row r="39" spans="1:10" ht="11.25">
      <c r="A39" s="24"/>
      <c r="B39" s="9"/>
      <c r="C39" s="37"/>
      <c r="D39" s="11"/>
      <c r="F39" s="38"/>
      <c r="G39" s="33"/>
      <c r="H39" s="33"/>
      <c r="I39" s="33"/>
      <c r="J39" s="33"/>
    </row>
    <row r="40" spans="1:10" ht="11.25">
      <c r="A40" s="24" t="s">
        <v>55</v>
      </c>
      <c r="B40" s="39">
        <f>SUM(B37:B39)</f>
        <v>176391.3132464</v>
      </c>
      <c r="C40" s="37"/>
      <c r="D40" s="15">
        <f>SUM(D37:D39)</f>
        <v>105793.08</v>
      </c>
      <c r="F40" s="33"/>
      <c r="G40" s="33"/>
      <c r="H40" s="33"/>
      <c r="I40" s="33"/>
      <c r="J40" s="33"/>
    </row>
    <row r="41" spans="1:10" ht="11.25">
      <c r="A41" s="24" t="s">
        <v>56</v>
      </c>
      <c r="B41" s="9">
        <f>+'[1]W2_BS Conso'!N64/1000</f>
        <v>0</v>
      </c>
      <c r="C41" s="37"/>
      <c r="D41" s="11">
        <f>32254107/1000</f>
        <v>32254.107</v>
      </c>
      <c r="F41" s="33"/>
      <c r="G41" s="33"/>
      <c r="H41" s="33"/>
      <c r="I41" s="33"/>
      <c r="J41" s="33"/>
    </row>
    <row r="42" spans="1:10" ht="11.25">
      <c r="A42" s="24" t="s">
        <v>57</v>
      </c>
      <c r="B42" s="9">
        <f>+'[1]W2_BS Conso'!N65/1000</f>
        <v>27892.329619999997</v>
      </c>
      <c r="C42" s="37"/>
      <c r="D42" s="11">
        <f>14994515/1000</f>
        <v>14994.515</v>
      </c>
      <c r="F42" s="33"/>
      <c r="G42" s="33"/>
      <c r="H42" s="33"/>
      <c r="I42" s="33"/>
      <c r="J42" s="33"/>
    </row>
    <row r="43" spans="1:10" ht="11.25">
      <c r="A43" s="24" t="s">
        <v>58</v>
      </c>
      <c r="B43" s="9">
        <f>+'[1]W2_BS Conso'!N67/1000</f>
        <v>7818.016</v>
      </c>
      <c r="C43" s="37"/>
      <c r="D43" s="11">
        <f>7818016/1000</f>
        <v>7818.016</v>
      </c>
      <c r="F43" s="33"/>
      <c r="G43" s="33"/>
      <c r="H43" s="33"/>
      <c r="I43" s="33"/>
      <c r="J43" s="33"/>
    </row>
    <row r="44" spans="1:10" ht="12" thickBot="1">
      <c r="A44" s="24"/>
      <c r="B44" s="36">
        <f>SUM(B40:B43)</f>
        <v>212101.65886640002</v>
      </c>
      <c r="C44" s="37"/>
      <c r="D44" s="19">
        <f>SUM(D40:D43)</f>
        <v>160859.718</v>
      </c>
      <c r="F44" s="38"/>
      <c r="G44" s="33"/>
      <c r="H44" s="33"/>
      <c r="I44" s="33"/>
      <c r="J44" s="33"/>
    </row>
    <row r="45" spans="1:4" ht="13.5" thickTop="1">
      <c r="A45" s="37"/>
      <c r="B45" s="40"/>
      <c r="C45" s="37"/>
      <c r="D45" s="41"/>
    </row>
    <row r="46" spans="1:4" ht="12" thickBot="1">
      <c r="A46" s="1" t="s">
        <v>59</v>
      </c>
      <c r="B46" s="42">
        <f>(B40-B19)/(B37*2)</f>
        <v>0.6681489138121213</v>
      </c>
      <c r="C46" s="43"/>
      <c r="D46" s="44">
        <f>(D40-D19)/(D37*2)</f>
        <v>0.7908293257575758</v>
      </c>
    </row>
    <row r="47" spans="1:4" ht="11.25">
      <c r="A47" s="37"/>
      <c r="B47" s="45"/>
      <c r="C47" s="37"/>
      <c r="D47" s="37"/>
    </row>
    <row r="48" spans="3:4" ht="11.25">
      <c r="C48" s="37"/>
      <c r="D48" s="37"/>
    </row>
    <row r="49" spans="3:4" ht="11.25">
      <c r="C49" s="37"/>
      <c r="D49" s="37"/>
    </row>
    <row r="50" spans="3:4" ht="11.25">
      <c r="C50" s="37"/>
      <c r="D50" s="37"/>
    </row>
    <row r="51" spans="3:4" ht="11.25">
      <c r="C51" s="37"/>
      <c r="D51" s="37"/>
    </row>
    <row r="52" spans="3:4" ht="11.25">
      <c r="C52" s="37"/>
      <c r="D52" s="37"/>
    </row>
    <row r="53" spans="3:4" ht="11.25">
      <c r="C53" s="37"/>
      <c r="D53" s="37"/>
    </row>
    <row r="54" spans="3:4" ht="11.25">
      <c r="C54" s="37"/>
      <c r="D54" s="37"/>
    </row>
    <row r="55" spans="3:4" ht="11.25">
      <c r="C55" s="37"/>
      <c r="D55" s="37"/>
    </row>
    <row r="56" spans="3:4" ht="11.25">
      <c r="C56" s="37"/>
      <c r="D56" s="37"/>
    </row>
    <row r="57" spans="3:4" ht="11.25">
      <c r="C57" s="37"/>
      <c r="D57" s="37"/>
    </row>
    <row r="58" spans="3:4" ht="11.25">
      <c r="C58" s="37"/>
      <c r="D58" s="37"/>
    </row>
    <row r="59" spans="3:4" ht="11.25">
      <c r="C59" s="37"/>
      <c r="D59" s="37"/>
    </row>
    <row r="60" spans="3:4" ht="11.25">
      <c r="C60" s="37"/>
      <c r="D60" s="37"/>
    </row>
    <row r="61" spans="3:4" ht="11.25">
      <c r="C61" s="37"/>
      <c r="D61" s="37"/>
    </row>
    <row r="62" spans="3:4" ht="11.25">
      <c r="C62" s="37"/>
      <c r="D62" s="37"/>
    </row>
    <row r="63" spans="3:4" ht="11.25">
      <c r="C63" s="37"/>
      <c r="D63" s="37"/>
    </row>
    <row r="64" spans="3:4" ht="11.25">
      <c r="C64" s="37"/>
      <c r="D64" s="37"/>
    </row>
    <row r="65" spans="3:4" ht="11.25">
      <c r="C65" s="37"/>
      <c r="D65" s="37"/>
    </row>
    <row r="66" spans="3:4" ht="11.25">
      <c r="C66" s="37"/>
      <c r="D66" s="37"/>
    </row>
    <row r="67" spans="3:4" ht="11.25">
      <c r="C67" s="37"/>
      <c r="D67" s="37"/>
    </row>
    <row r="68" spans="3:4" ht="11.25">
      <c r="C68" s="37"/>
      <c r="D68" s="37"/>
    </row>
    <row r="69" spans="3:4" ht="11.25">
      <c r="C69" s="37"/>
      <c r="D69" s="37"/>
    </row>
    <row r="70" spans="3:4" ht="11.25">
      <c r="C70" s="37"/>
      <c r="D70" s="37"/>
    </row>
    <row r="71" spans="3:4" ht="11.25">
      <c r="C71" s="37"/>
      <c r="D71" s="37"/>
    </row>
    <row r="72" spans="3:4" ht="11.25">
      <c r="C72" s="37"/>
      <c r="D72" s="37"/>
    </row>
    <row r="73" spans="3:4" ht="11.25">
      <c r="C73" s="37"/>
      <c r="D73" s="37"/>
    </row>
    <row r="74" spans="3:4" ht="11.25">
      <c r="C74" s="37"/>
      <c r="D74" s="37"/>
    </row>
    <row r="75" spans="3:4" ht="11.25">
      <c r="C75" s="37"/>
      <c r="D75" s="37"/>
    </row>
    <row r="76" spans="3:4" ht="11.25">
      <c r="C76" s="37"/>
      <c r="D76" s="37"/>
    </row>
    <row r="77" spans="3:4" ht="11.25">
      <c r="C77" s="37"/>
      <c r="D77" s="37"/>
    </row>
    <row r="78" spans="3:4" ht="11.25">
      <c r="C78" s="37"/>
      <c r="D78" s="37"/>
    </row>
    <row r="79" spans="3:4" ht="11.25">
      <c r="C79" s="37"/>
      <c r="D79" s="37"/>
    </row>
    <row r="80" spans="3:4" ht="11.25">
      <c r="C80" s="37"/>
      <c r="D80" s="37"/>
    </row>
  </sheetData>
  <sheetProtection password="E7B9" sheet="1" objects="1" scenarios="1"/>
  <printOptions/>
  <pageMargins left="0.5511811023622047" right="0.35433070866141736" top="0.984251968503937" bottom="0.984251968503937"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E54"/>
  <sheetViews>
    <sheetView workbookViewId="0" topLeftCell="A34">
      <selection activeCell="B66" sqref="B66"/>
    </sheetView>
  </sheetViews>
  <sheetFormatPr defaultColWidth="9.140625" defaultRowHeight="12.75"/>
  <cols>
    <col min="1" max="1" width="35.8515625" style="3" customWidth="1"/>
    <col min="2" max="2" width="11.140625" style="9" customWidth="1"/>
    <col min="3" max="3" width="13.57421875" style="9" customWidth="1"/>
    <col min="4" max="4" width="13.8515625" style="9" customWidth="1"/>
    <col min="5" max="5" width="11.28125" style="9" customWidth="1"/>
    <col min="6" max="6" width="5.8515625" style="3" customWidth="1"/>
    <col min="7" max="7" width="1.28515625" style="3" customWidth="1"/>
    <col min="8" max="9" width="9.140625" style="3" customWidth="1"/>
    <col min="10" max="10" width="8.421875" style="3" customWidth="1"/>
    <col min="11" max="16384" width="9.140625" style="3" customWidth="1"/>
  </cols>
  <sheetData>
    <row r="1" ht="11.25">
      <c r="A1" s="2" t="s">
        <v>0</v>
      </c>
    </row>
    <row r="2" ht="11.25">
      <c r="A2" s="2" t="s">
        <v>1</v>
      </c>
    </row>
    <row r="3" ht="11.25">
      <c r="A3" s="2"/>
    </row>
    <row r="5" ht="11.25">
      <c r="A5" s="24" t="s">
        <v>60</v>
      </c>
    </row>
    <row r="6" ht="11.25">
      <c r="A6" s="1" t="s">
        <v>3</v>
      </c>
    </row>
    <row r="7" ht="11.25">
      <c r="A7" s="24" t="s">
        <v>4</v>
      </c>
    </row>
    <row r="8" ht="11.25">
      <c r="A8" s="24"/>
    </row>
    <row r="9" ht="11.25">
      <c r="A9" s="24"/>
    </row>
    <row r="10" spans="3:4" ht="11.25">
      <c r="C10" s="46" t="s">
        <v>61</v>
      </c>
      <c r="D10" s="9" t="s">
        <v>62</v>
      </c>
    </row>
    <row r="11" spans="2:4" ht="11.25">
      <c r="B11" s="46" t="s">
        <v>63</v>
      </c>
      <c r="C11" s="46" t="s">
        <v>64</v>
      </c>
      <c r="D11" s="46" t="s">
        <v>63</v>
      </c>
    </row>
    <row r="12" spans="2:5" ht="11.25">
      <c r="B12" s="46" t="s">
        <v>65</v>
      </c>
      <c r="C12" s="46" t="s">
        <v>66</v>
      </c>
      <c r="D12" s="46" t="s">
        <v>67</v>
      </c>
      <c r="E12" s="46" t="s">
        <v>68</v>
      </c>
    </row>
    <row r="13" spans="2:5" ht="11.25">
      <c r="B13" s="46" t="s">
        <v>15</v>
      </c>
      <c r="C13" s="46" t="s">
        <v>15</v>
      </c>
      <c r="D13" s="46" t="s">
        <v>15</v>
      </c>
      <c r="E13" s="46" t="s">
        <v>15</v>
      </c>
    </row>
    <row r="14" spans="2:5" ht="11.25">
      <c r="B14" s="46"/>
      <c r="C14" s="46"/>
      <c r="E14" s="46"/>
    </row>
    <row r="15" spans="1:5" ht="11.25">
      <c r="A15" s="24" t="s">
        <v>69</v>
      </c>
      <c r="B15" s="47">
        <v>60000</v>
      </c>
      <c r="C15" s="26">
        <f>15494693/1000</f>
        <v>15494.693</v>
      </c>
      <c r="D15" s="26">
        <f>447028/1000</f>
        <v>447.028</v>
      </c>
      <c r="E15" s="47">
        <f>SUM(B15:D15)</f>
        <v>75941.721</v>
      </c>
    </row>
    <row r="17" spans="1:5" ht="11.25">
      <c r="A17" s="3" t="s">
        <v>70</v>
      </c>
      <c r="B17" s="48">
        <v>0</v>
      </c>
      <c r="C17" s="39">
        <f>-3602061/1000</f>
        <v>-3602.061</v>
      </c>
      <c r="D17" s="39">
        <v>0</v>
      </c>
      <c r="E17" s="49">
        <f>SUM(B17:D17)</f>
        <v>-3602.061</v>
      </c>
    </row>
    <row r="18" spans="2:5" ht="11.25">
      <c r="B18" s="50"/>
      <c r="C18" s="51"/>
      <c r="D18" s="51"/>
      <c r="E18" s="52"/>
    </row>
    <row r="19" spans="1:5" ht="11.25">
      <c r="A19" s="3" t="s">
        <v>71</v>
      </c>
      <c r="B19" s="26">
        <f>SUM(B15:B18)</f>
        <v>60000</v>
      </c>
      <c r="C19" s="26">
        <f>SUM(C15:C18)</f>
        <v>11892.632</v>
      </c>
      <c r="D19" s="26">
        <f>SUM(D15:D18)</f>
        <v>447.028</v>
      </c>
      <c r="E19" s="47">
        <f>SUM(B19:D19)</f>
        <v>72339.66</v>
      </c>
    </row>
    <row r="20" ht="11.25">
      <c r="E20" s="11"/>
    </row>
    <row r="21" spans="1:5" ht="11.25">
      <c r="A21" s="3" t="s">
        <v>72</v>
      </c>
      <c r="B21" s="9">
        <v>0</v>
      </c>
      <c r="C21" s="9">
        <f>4406968/1000</f>
        <v>4406.968</v>
      </c>
      <c r="D21" s="9">
        <v>0</v>
      </c>
      <c r="E21" s="9">
        <f>SUM(B21:D21)</f>
        <v>4406.968</v>
      </c>
    </row>
    <row r="22" spans="2:5" ht="11.25">
      <c r="B22" s="46"/>
      <c r="C22" s="46"/>
      <c r="D22" s="46"/>
      <c r="E22" s="46"/>
    </row>
    <row r="23" spans="1:5" ht="11.25">
      <c r="A23" s="3" t="s">
        <v>73</v>
      </c>
      <c r="B23" s="9">
        <f>6000000/1000</f>
        <v>6000</v>
      </c>
      <c r="C23" s="9">
        <v>0</v>
      </c>
      <c r="D23" s="9">
        <f>1320000/1000</f>
        <v>1320</v>
      </c>
      <c r="E23" s="11">
        <f>SUM(B23:D23)</f>
        <v>7320</v>
      </c>
    </row>
    <row r="24" ht="11.25">
      <c r="E24" s="11"/>
    </row>
    <row r="25" spans="1:5" ht="11.25">
      <c r="A25" s="3" t="s">
        <v>74</v>
      </c>
      <c r="B25" s="48"/>
      <c r="C25" s="39"/>
      <c r="D25" s="39"/>
      <c r="E25" s="49"/>
    </row>
    <row r="26" spans="1:5" ht="11.25">
      <c r="A26" s="3" t="s">
        <v>75</v>
      </c>
      <c r="B26" s="53">
        <v>0</v>
      </c>
      <c r="C26" s="9">
        <v>0</v>
      </c>
      <c r="D26" s="9">
        <f>-96190/1000</f>
        <v>-96.19</v>
      </c>
      <c r="E26" s="54">
        <f>SUM(B26:D26)</f>
        <v>-96.19</v>
      </c>
    </row>
    <row r="27" spans="2:5" ht="11.25">
      <c r="B27" s="53"/>
      <c r="E27" s="54"/>
    </row>
    <row r="28" spans="1:5" ht="11.25">
      <c r="A28" s="3" t="s">
        <v>76</v>
      </c>
      <c r="B28" s="53">
        <v>0</v>
      </c>
      <c r="C28" s="9">
        <f>373052/1000</f>
        <v>373.052</v>
      </c>
      <c r="D28" s="9">
        <v>0</v>
      </c>
      <c r="E28" s="54">
        <f>SUM(B28:D28)</f>
        <v>373.052</v>
      </c>
    </row>
    <row r="29" spans="1:5" ht="11.25">
      <c r="A29" s="3" t="s">
        <v>77</v>
      </c>
      <c r="B29" s="50"/>
      <c r="C29" s="51"/>
      <c r="D29" s="51"/>
      <c r="E29" s="52"/>
    </row>
    <row r="30" ht="11.25">
      <c r="E30" s="11"/>
    </row>
    <row r="31" spans="1:5" ht="11.25">
      <c r="A31" s="3" t="s">
        <v>78</v>
      </c>
      <c r="B31" s="26">
        <f>SUM(B25:B30)</f>
        <v>0</v>
      </c>
      <c r="C31" s="26">
        <f>SUM(C25:C30)</f>
        <v>373.052</v>
      </c>
      <c r="D31" s="26">
        <f>SUM(D25:D30)</f>
        <v>-96.19</v>
      </c>
      <c r="E31" s="26">
        <f>SUM(B31:D31)</f>
        <v>276.862</v>
      </c>
    </row>
    <row r="32" spans="1:5" ht="11.25">
      <c r="A32" s="3" t="s">
        <v>79</v>
      </c>
      <c r="E32" s="11"/>
    </row>
    <row r="33" ht="11.25">
      <c r="E33" s="11"/>
    </row>
    <row r="34" spans="1:5" ht="11.25">
      <c r="A34" s="3" t="s">
        <v>80</v>
      </c>
      <c r="E34" s="11"/>
    </row>
    <row r="35" spans="1:5" ht="11.25">
      <c r="A35" s="24" t="s">
        <v>81</v>
      </c>
      <c r="B35" s="9">
        <v>0</v>
      </c>
      <c r="C35" s="9">
        <f>-3960000/1000</f>
        <v>-3960</v>
      </c>
      <c r="D35" s="9">
        <v>0</v>
      </c>
      <c r="E35" s="11">
        <f>SUM(B35:D35)</f>
        <v>-3960</v>
      </c>
    </row>
    <row r="36" spans="1:5" ht="11.25">
      <c r="A36" s="24"/>
      <c r="E36" s="11"/>
    </row>
    <row r="37" spans="1:5" ht="11.25">
      <c r="A37" s="3" t="s">
        <v>82</v>
      </c>
      <c r="B37" s="46">
        <v>0</v>
      </c>
      <c r="C37" s="46">
        <f>14234632/1000</f>
        <v>14234.632</v>
      </c>
      <c r="D37" s="46">
        <v>0</v>
      </c>
      <c r="E37" s="9">
        <f>SUM(B37:D37)</f>
        <v>14234.632</v>
      </c>
    </row>
    <row r="38" spans="2:5" ht="11.25">
      <c r="B38" s="55"/>
      <c r="C38" s="55"/>
      <c r="D38" s="55"/>
      <c r="E38" s="55"/>
    </row>
    <row r="39" spans="1:5" ht="11.25">
      <c r="A39" s="24" t="s">
        <v>83</v>
      </c>
      <c r="B39" s="47">
        <f>B19+B21+B23+B31+B35+B37</f>
        <v>66000</v>
      </c>
      <c r="C39" s="47">
        <f>C19+C21+C23+C31+C35+C37</f>
        <v>26947.284</v>
      </c>
      <c r="D39" s="47">
        <f>D19+D21+D23+D31+D35+D37</f>
        <v>1670.838</v>
      </c>
      <c r="E39" s="47">
        <f>SUM(B39:D39)</f>
        <v>94618.122</v>
      </c>
    </row>
    <row r="40" spans="1:5" ht="11.25">
      <c r="A40" s="24"/>
      <c r="B40" s="11"/>
      <c r="E40" s="11"/>
    </row>
    <row r="41" spans="1:5" ht="11.25">
      <c r="A41" s="3" t="s">
        <v>84</v>
      </c>
      <c r="B41" s="56">
        <v>0</v>
      </c>
      <c r="C41" s="27">
        <v>0</v>
      </c>
      <c r="D41" s="27">
        <v>-42</v>
      </c>
      <c r="E41" s="57">
        <f>SUM(B41:D41)</f>
        <v>-42</v>
      </c>
    </row>
    <row r="42" ht="11.25">
      <c r="E42" s="11"/>
    </row>
    <row r="43" spans="1:5" ht="11.25">
      <c r="A43" s="3" t="s">
        <v>85</v>
      </c>
      <c r="B43" s="26">
        <f>B41</f>
        <v>0</v>
      </c>
      <c r="C43" s="26">
        <v>0</v>
      </c>
      <c r="D43" s="26">
        <f>D41</f>
        <v>-42</v>
      </c>
      <c r="E43" s="26">
        <f>E41</f>
        <v>-42</v>
      </c>
    </row>
    <row r="45" spans="1:5" ht="11.25">
      <c r="A45" s="3" t="s">
        <v>86</v>
      </c>
      <c r="B45" s="9">
        <v>0</v>
      </c>
      <c r="C45" s="9">
        <v>11217</v>
      </c>
      <c r="D45" s="9">
        <v>0</v>
      </c>
      <c r="E45" s="11">
        <f>SUM(B45:D45)</f>
        <v>11217</v>
      </c>
    </row>
    <row r="47" spans="1:5" ht="12" thickBot="1">
      <c r="A47" s="24" t="s">
        <v>87</v>
      </c>
      <c r="B47" s="58">
        <f>B39+B43+B45</f>
        <v>66000</v>
      </c>
      <c r="C47" s="58">
        <f>+C39+C43+C45</f>
        <v>38164.284</v>
      </c>
      <c r="D47" s="58">
        <f>D39+D43+D45</f>
        <v>1628.838</v>
      </c>
      <c r="E47" s="58">
        <f>E39+E43+E45</f>
        <v>105793.122</v>
      </c>
    </row>
    <row r="48" ht="12" thickTop="1"/>
    <row r="50" spans="1:5" ht="11.25">
      <c r="A50" s="3" t="s">
        <v>88</v>
      </c>
      <c r="B50" s="9">
        <f>SUM(B47:B49)</f>
        <v>66000</v>
      </c>
      <c r="C50" s="9">
        <v>0</v>
      </c>
      <c r="D50" s="9">
        <v>0</v>
      </c>
      <c r="E50" s="9">
        <f>SUM(B50:D50)</f>
        <v>66000</v>
      </c>
    </row>
    <row r="51" spans="1:5" ht="11.25">
      <c r="A51" s="3" t="s">
        <v>89</v>
      </c>
      <c r="D51" s="9">
        <v>-1404</v>
      </c>
      <c r="E51" s="9">
        <f>SUM(B51:D51)</f>
        <v>-1404</v>
      </c>
    </row>
    <row r="52" spans="1:5" ht="11.25">
      <c r="A52" s="3" t="s">
        <v>90</v>
      </c>
      <c r="B52" s="9">
        <v>0</v>
      </c>
      <c r="C52" s="9">
        <f>+'[1]IS'!F42</f>
        <v>6001.844584026098</v>
      </c>
      <c r="D52" s="9">
        <v>0</v>
      </c>
      <c r="E52" s="9">
        <f>SUM(B52:D52)</f>
        <v>6001.844584026098</v>
      </c>
    </row>
    <row r="54" spans="1:5" ht="12" thickBot="1">
      <c r="A54" s="24" t="s">
        <v>91</v>
      </c>
      <c r="B54" s="58">
        <f>SUM(B47:B50)</f>
        <v>132000</v>
      </c>
      <c r="C54" s="58">
        <f>SUM(C47:C52)</f>
        <v>44166.1285840261</v>
      </c>
      <c r="D54" s="58">
        <f>SUM(D47:D52)+0.3</f>
        <v>225.13799999999998</v>
      </c>
      <c r="E54" s="58">
        <f>SUM(E47:E52)</f>
        <v>176390.96658402612</v>
      </c>
    </row>
  </sheetData>
  <sheetProtection password="E7B9" sheet="1" objects="1" scenarios="1"/>
  <printOptions/>
  <pageMargins left="0.5511811023622047" right="0.5511811023622047" top="0.984251968503937" bottom="0.984251968503937"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I35"/>
  <sheetViews>
    <sheetView workbookViewId="0" topLeftCell="A13">
      <selection activeCell="C40" sqref="C40"/>
    </sheetView>
  </sheetViews>
  <sheetFormatPr defaultColWidth="9.140625" defaultRowHeight="12.75"/>
  <cols>
    <col min="1" max="1" width="50.00390625" style="3" customWidth="1"/>
    <col min="2" max="2" width="2.421875" style="3" customWidth="1"/>
    <col min="3" max="3" width="14.57421875" style="9" customWidth="1"/>
    <col min="4" max="4" width="1.7109375" style="3" customWidth="1"/>
    <col min="5" max="5" width="12.8515625" style="3" customWidth="1"/>
    <col min="6" max="6" width="1.57421875" style="3" customWidth="1"/>
    <col min="7" max="8" width="9.140625" style="3" customWidth="1"/>
    <col min="9" max="9" width="9.57421875" style="3" customWidth="1"/>
    <col min="10" max="16384" width="9.140625" style="3" customWidth="1"/>
  </cols>
  <sheetData>
    <row r="1" ht="11.25">
      <c r="A1" s="2" t="s">
        <v>0</v>
      </c>
    </row>
    <row r="2" ht="11.25">
      <c r="A2" s="2" t="s">
        <v>1</v>
      </c>
    </row>
    <row r="3" ht="11.25">
      <c r="A3" s="2"/>
    </row>
    <row r="5" ht="11.25">
      <c r="A5" s="24" t="s">
        <v>92</v>
      </c>
    </row>
    <row r="6" ht="11.25">
      <c r="A6" s="1" t="s">
        <v>3</v>
      </c>
    </row>
    <row r="7" spans="1:3" ht="11.25">
      <c r="A7" s="24" t="s">
        <v>4</v>
      </c>
      <c r="C7" s="3"/>
    </row>
    <row r="8" spans="1:5" ht="11.25">
      <c r="A8" s="24"/>
      <c r="C8" s="5"/>
      <c r="E8" s="5"/>
    </row>
    <row r="9" spans="1:5" ht="11.25">
      <c r="A9" s="24"/>
      <c r="C9" s="5" t="s">
        <v>93</v>
      </c>
      <c r="D9" s="5"/>
      <c r="E9" s="5" t="s">
        <v>93</v>
      </c>
    </row>
    <row r="10" spans="1:5" ht="11.25">
      <c r="A10" s="24"/>
      <c r="C10" s="5" t="s">
        <v>8</v>
      </c>
      <c r="E10" s="5" t="s">
        <v>7</v>
      </c>
    </row>
    <row r="11" spans="1:5" ht="11.25">
      <c r="A11" s="24"/>
      <c r="C11" s="5" t="s">
        <v>10</v>
      </c>
      <c r="E11" s="5" t="s">
        <v>12</v>
      </c>
    </row>
    <row r="12" spans="1:5" ht="11.25">
      <c r="A12" s="24"/>
      <c r="B12" s="24"/>
      <c r="C12" s="59" t="s">
        <v>13</v>
      </c>
      <c r="D12" s="59"/>
      <c r="E12" s="59" t="s">
        <v>38</v>
      </c>
    </row>
    <row r="13" spans="1:5" ht="11.25">
      <c r="A13" s="24"/>
      <c r="C13" s="5" t="s">
        <v>15</v>
      </c>
      <c r="D13" s="5"/>
      <c r="E13" s="5" t="s">
        <v>15</v>
      </c>
    </row>
    <row r="14" spans="1:3" ht="11.25">
      <c r="A14" s="24"/>
      <c r="C14" s="3"/>
    </row>
    <row r="15" spans="1:9" ht="11.25">
      <c r="A15" s="24" t="s">
        <v>94</v>
      </c>
      <c r="C15" s="60">
        <f>+'[1]W3_CF Conso'!N45/1000</f>
        <v>9463.914940399996</v>
      </c>
      <c r="D15" s="9"/>
      <c r="E15" s="60">
        <f>12339803/1000</f>
        <v>12339.803</v>
      </c>
      <c r="I15" s="61"/>
    </row>
    <row r="16" spans="1:9" ht="11.25">
      <c r="A16" s="24"/>
      <c r="C16" s="60"/>
      <c r="D16" s="9"/>
      <c r="E16" s="60"/>
      <c r="I16" s="61"/>
    </row>
    <row r="17" spans="1:9" ht="11.25">
      <c r="A17" s="24" t="s">
        <v>95</v>
      </c>
      <c r="C17" s="60">
        <f>+'[1]W3_CF Conso'!N54/1000</f>
        <v>-33705.749520000005</v>
      </c>
      <c r="D17" s="9"/>
      <c r="E17" s="60">
        <f>-26874393/1000</f>
        <v>-26874.393</v>
      </c>
      <c r="I17" s="61"/>
    </row>
    <row r="18" spans="3:9" ht="11.25">
      <c r="C18" s="60"/>
      <c r="D18" s="9"/>
      <c r="E18" s="60"/>
      <c r="I18" s="61"/>
    </row>
    <row r="19" spans="1:9" ht="11.25">
      <c r="A19" s="24" t="s">
        <v>96</v>
      </c>
      <c r="C19" s="60">
        <f>+'[1]W3_CF Conso'!N64/1000</f>
        <v>41813.96981</v>
      </c>
      <c r="D19" s="9"/>
      <c r="E19" s="60">
        <f>42347311/1000</f>
        <v>42347.311</v>
      </c>
      <c r="I19" s="61"/>
    </row>
    <row r="20" spans="3:9" ht="11.25">
      <c r="C20" s="62"/>
      <c r="D20" s="9"/>
      <c r="E20" s="62"/>
      <c r="I20" s="61"/>
    </row>
    <row r="21" spans="1:9" ht="11.25">
      <c r="A21" s="24" t="s">
        <v>97</v>
      </c>
      <c r="C21" s="60">
        <f>SUM(C15:C19)</f>
        <v>17572.135230399996</v>
      </c>
      <c r="D21" s="9"/>
      <c r="E21" s="60">
        <f>SUM(E15:E19)</f>
        <v>27812.721</v>
      </c>
      <c r="I21" s="61"/>
    </row>
    <row r="22" spans="3:9" ht="11.25">
      <c r="C22" s="60"/>
      <c r="D22" s="9"/>
      <c r="E22" s="60"/>
      <c r="I22" s="61"/>
    </row>
    <row r="23" spans="1:9" ht="11.25">
      <c r="A23" s="24" t="s">
        <v>98</v>
      </c>
      <c r="C23" s="63">
        <f>+'[1]W3_CF Conso'!N68/1000</f>
        <v>27434.00089</v>
      </c>
      <c r="D23" s="9"/>
      <c r="E23" s="60">
        <f>-379501/1000</f>
        <v>-379.501</v>
      </c>
      <c r="I23" s="61"/>
    </row>
    <row r="24" spans="3:9" ht="11.25">
      <c r="C24" s="60"/>
      <c r="D24" s="9"/>
      <c r="E24" s="60"/>
      <c r="I24" s="61"/>
    </row>
    <row r="25" spans="1:9" ht="12" thickBot="1">
      <c r="A25" s="24" t="s">
        <v>99</v>
      </c>
      <c r="C25" s="64">
        <f>SUM(C21:C24)</f>
        <v>45006.1361204</v>
      </c>
      <c r="D25" s="9"/>
      <c r="E25" s="64">
        <f>SUM(E21:E24)</f>
        <v>27433.22</v>
      </c>
      <c r="I25" s="61"/>
    </row>
    <row r="26" spans="3:9" ht="12" thickTop="1">
      <c r="C26" s="60"/>
      <c r="E26" s="60"/>
      <c r="I26" s="61"/>
    </row>
    <row r="27" spans="3:9" ht="11.25">
      <c r="C27" s="60"/>
      <c r="E27" s="60"/>
      <c r="I27" s="61"/>
    </row>
    <row r="28" spans="1:9" ht="11.25">
      <c r="A28" s="65" t="s">
        <v>100</v>
      </c>
      <c r="C28" s="60"/>
      <c r="E28" s="60"/>
      <c r="I28" s="61"/>
    </row>
    <row r="29" spans="3:9" ht="11.25">
      <c r="C29" s="60"/>
      <c r="E29" s="60"/>
      <c r="I29" s="61"/>
    </row>
    <row r="30" spans="1:9" ht="11.25">
      <c r="A30" s="3" t="s">
        <v>101</v>
      </c>
      <c r="C30" s="60">
        <f>+'[1]W3_CF Conso'!N73/1000</f>
        <v>48870.09376</v>
      </c>
      <c r="E30" s="60">
        <f>33077090/1000</f>
        <v>33077.09</v>
      </c>
      <c r="I30" s="61"/>
    </row>
    <row r="31" spans="1:9" ht="11.25">
      <c r="A31" s="3" t="s">
        <v>102</v>
      </c>
      <c r="C31" s="60">
        <f>+'[1]W3_CF Conso'!N75/1000</f>
        <v>-3863.95764</v>
      </c>
      <c r="E31" s="60">
        <f>-5643870/1000</f>
        <v>-5643.87</v>
      </c>
      <c r="I31" s="61"/>
    </row>
    <row r="32" spans="3:9" ht="11.25">
      <c r="C32" s="60"/>
      <c r="E32" s="60"/>
      <c r="I32" s="61"/>
    </row>
    <row r="33" spans="1:9" ht="12" thickBot="1">
      <c r="A33" s="24" t="s">
        <v>99</v>
      </c>
      <c r="C33" s="64">
        <f>SUM(C30:C32)</f>
        <v>45006.13612</v>
      </c>
      <c r="E33" s="64">
        <f>SUM(E30:E32)</f>
        <v>27433.219999999998</v>
      </c>
      <c r="I33" s="61"/>
    </row>
    <row r="34" spans="3:5" ht="12" thickTop="1">
      <c r="C34" s="60"/>
      <c r="E34" s="60"/>
    </row>
    <row r="35" spans="3:5" ht="11.25">
      <c r="C35" s="66"/>
      <c r="E35" s="9"/>
    </row>
  </sheetData>
  <sheetProtection password="E7B9" sheet="1" objects="1" scenarios="1"/>
  <printOptions/>
  <pageMargins left="0.7480314960629921" right="0.7480314960629921" top="0.984251968503937" bottom="0.984251968503937"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N409"/>
  <sheetViews>
    <sheetView tabSelected="1" workbookViewId="0" topLeftCell="A28">
      <selection activeCell="I45" sqref="I45"/>
    </sheetView>
  </sheetViews>
  <sheetFormatPr defaultColWidth="9.140625" defaultRowHeight="12.75"/>
  <cols>
    <col min="1" max="1" width="4.57421875" style="70" customWidth="1"/>
    <col min="2" max="2" width="11.57421875" style="68" customWidth="1"/>
    <col min="3" max="3" width="14.7109375" style="68" customWidth="1"/>
    <col min="4" max="5" width="11.7109375" style="68" customWidth="1"/>
    <col min="6" max="6" width="11.57421875" style="68" customWidth="1"/>
    <col min="7" max="7" width="10.00390625" style="68" customWidth="1"/>
    <col min="8" max="8" width="12.7109375" style="68" customWidth="1"/>
    <col min="9" max="9" width="9.140625" style="68" customWidth="1"/>
    <col min="10" max="10" width="1.28515625" style="69" customWidth="1"/>
    <col min="11" max="11" width="10.140625" style="68" customWidth="1"/>
    <col min="12" max="12" width="10.421875" style="68" customWidth="1"/>
    <col min="13" max="13" width="9.28125" style="68" customWidth="1"/>
    <col min="14" max="16384" width="9.140625" style="68" customWidth="1"/>
  </cols>
  <sheetData>
    <row r="1" ht="12.75">
      <c r="A1" s="67" t="s">
        <v>0</v>
      </c>
    </row>
    <row r="2" ht="12.75">
      <c r="A2" s="67" t="s">
        <v>1</v>
      </c>
    </row>
    <row r="3" ht="12.75">
      <c r="A3" s="67"/>
    </row>
    <row r="5" ht="12.75">
      <c r="A5" s="70" t="s">
        <v>103</v>
      </c>
    </row>
    <row r="8" spans="1:2" ht="12.75">
      <c r="A8" s="70" t="s">
        <v>104</v>
      </c>
      <c r="B8" s="71" t="s">
        <v>105</v>
      </c>
    </row>
    <row r="12" ht="12.75">
      <c r="K12" s="69"/>
    </row>
    <row r="25" spans="1:2" ht="12.75">
      <c r="A25" s="70" t="s">
        <v>106</v>
      </c>
      <c r="B25" s="71" t="s">
        <v>107</v>
      </c>
    </row>
    <row r="26" ht="12.75">
      <c r="B26" s="71"/>
    </row>
    <row r="31" spans="1:2" ht="12.75">
      <c r="A31" s="70" t="s">
        <v>108</v>
      </c>
      <c r="B31" s="71" t="s">
        <v>109</v>
      </c>
    </row>
    <row r="32" ht="12.75">
      <c r="B32" s="71"/>
    </row>
    <row r="33" ht="12.75">
      <c r="B33" s="68" t="s">
        <v>110</v>
      </c>
    </row>
    <row r="36" spans="1:2" ht="12.75">
      <c r="A36" s="70" t="s">
        <v>111</v>
      </c>
      <c r="B36" s="71" t="s">
        <v>112</v>
      </c>
    </row>
    <row r="43" spans="1:2" ht="12.75">
      <c r="A43" s="70" t="s">
        <v>113</v>
      </c>
      <c r="B43" s="71" t="s">
        <v>114</v>
      </c>
    </row>
    <row r="45" ht="12.75">
      <c r="B45" s="68" t="s">
        <v>115</v>
      </c>
    </row>
    <row r="48" spans="1:2" ht="12.75">
      <c r="A48" s="70" t="s">
        <v>116</v>
      </c>
      <c r="B48" s="71" t="s">
        <v>117</v>
      </c>
    </row>
    <row r="55" spans="1:2" ht="12.75">
      <c r="A55" s="70" t="s">
        <v>118</v>
      </c>
      <c r="B55" s="71" t="s">
        <v>119</v>
      </c>
    </row>
    <row r="56" ht="11.25" customHeight="1"/>
    <row r="62" spans="1:8" ht="12.75">
      <c r="A62" s="70" t="s">
        <v>120</v>
      </c>
      <c r="B62" s="71" t="s">
        <v>121</v>
      </c>
      <c r="H62" s="69"/>
    </row>
    <row r="63" ht="12.75">
      <c r="A63" s="68"/>
    </row>
    <row r="64" spans="2:9" ht="12.75">
      <c r="B64" s="72"/>
      <c r="D64" s="73"/>
      <c r="E64" s="73"/>
      <c r="F64" s="73"/>
      <c r="G64" s="73"/>
      <c r="H64" s="114" t="s">
        <v>122</v>
      </c>
      <c r="I64" s="114"/>
    </row>
    <row r="65" spans="2:9" ht="12.75">
      <c r="B65" s="72"/>
      <c r="D65" s="73"/>
      <c r="E65" s="73"/>
      <c r="F65" s="115" t="s">
        <v>16</v>
      </c>
      <c r="G65" s="115"/>
      <c r="H65" s="115" t="s">
        <v>123</v>
      </c>
      <c r="I65" s="115"/>
    </row>
    <row r="66" spans="2:9" ht="12.75">
      <c r="B66" s="76"/>
      <c r="C66" s="69"/>
      <c r="D66" s="77"/>
      <c r="E66" s="77"/>
      <c r="F66" s="75"/>
      <c r="G66" s="74"/>
      <c r="H66" s="74"/>
      <c r="I66" s="74"/>
    </row>
    <row r="67" spans="2:9" ht="12.75">
      <c r="B67" s="76"/>
      <c r="C67" s="69"/>
      <c r="D67" s="77"/>
      <c r="E67" s="77"/>
      <c r="F67" s="75"/>
      <c r="G67" s="74"/>
      <c r="H67" s="74"/>
      <c r="I67" s="74"/>
    </row>
    <row r="68" spans="2:9" ht="12.75">
      <c r="B68" s="76"/>
      <c r="C68" s="69"/>
      <c r="D68" s="77"/>
      <c r="E68" s="77"/>
      <c r="F68" s="75"/>
      <c r="G68" s="74"/>
      <c r="H68" s="74"/>
      <c r="I68" s="74"/>
    </row>
    <row r="69" spans="2:9" ht="12.75" customHeight="1">
      <c r="B69" s="76"/>
      <c r="C69" s="69"/>
      <c r="D69" s="77"/>
      <c r="E69" s="116" t="s">
        <v>124</v>
      </c>
      <c r="F69" s="116"/>
      <c r="G69" s="116" t="s">
        <v>125</v>
      </c>
      <c r="H69" s="116"/>
      <c r="I69" s="74"/>
    </row>
    <row r="70" spans="2:9" ht="25.5">
      <c r="B70" s="117" t="s">
        <v>126</v>
      </c>
      <c r="C70" s="117"/>
      <c r="D70" s="117"/>
      <c r="E70" s="78" t="s">
        <v>16</v>
      </c>
      <c r="F70" s="79" t="s">
        <v>20</v>
      </c>
      <c r="G70" s="78" t="s">
        <v>16</v>
      </c>
      <c r="H70" s="79" t="s">
        <v>20</v>
      </c>
      <c r="I70" s="74"/>
    </row>
    <row r="71" spans="2:9" ht="12.75">
      <c r="B71" s="76"/>
      <c r="C71" s="69"/>
      <c r="D71" s="77"/>
      <c r="E71" s="80" t="s">
        <v>127</v>
      </c>
      <c r="F71" s="80" t="s">
        <v>127</v>
      </c>
      <c r="G71" s="80" t="s">
        <v>127</v>
      </c>
      <c r="H71" s="80" t="s">
        <v>127</v>
      </c>
      <c r="I71" s="74"/>
    </row>
    <row r="72" spans="2:13" ht="12.75">
      <c r="B72" s="76" t="s">
        <v>128</v>
      </c>
      <c r="C72" s="69"/>
      <c r="D72" s="77"/>
      <c r="E72" s="81">
        <f>'[1]IS'!B16-E73-E74-E75</f>
        <v>45256.85059</v>
      </c>
      <c r="F72" s="81">
        <f>'[1]IS'!B30-F73-F74-F75</f>
        <v>3577.929460000003</v>
      </c>
      <c r="G72" s="81">
        <v>34400.069390000004</v>
      </c>
      <c r="H72" s="81">
        <v>3590.5402100000056</v>
      </c>
      <c r="I72" s="74"/>
      <c r="L72" s="82"/>
      <c r="M72" s="82"/>
    </row>
    <row r="73" spans="2:13" ht="12.75">
      <c r="B73" s="76" t="s">
        <v>129</v>
      </c>
      <c r="C73" s="69"/>
      <c r="D73" s="77"/>
      <c r="E73" s="81">
        <f>'[1]Det P_L'!F79/1000+'[1]Det P_L'!G79/1000</f>
        <v>1009.6120000000001</v>
      </c>
      <c r="F73" s="83">
        <f>SUM('[1]Det P_L'!B89:C89)/1000</f>
        <v>24.329</v>
      </c>
      <c r="G73" s="81">
        <v>1728.4344300000002</v>
      </c>
      <c r="H73" s="81">
        <v>95.00685999999999</v>
      </c>
      <c r="I73" s="74"/>
      <c r="L73" s="82"/>
      <c r="M73" s="82"/>
    </row>
    <row r="74" spans="2:13" ht="12.75">
      <c r="B74" s="76" t="s">
        <v>130</v>
      </c>
      <c r="C74" s="69"/>
      <c r="D74" s="77"/>
      <c r="E74" s="81">
        <f>'[1]W1_P_L Conso'!G15/1000-'[1]W1_P_L Conso'!O47/1000</f>
        <v>288</v>
      </c>
      <c r="F74" s="83">
        <f>'[1]W1_P_L Conso'!G29/1000</f>
        <v>-100.46916</v>
      </c>
      <c r="G74" s="81">
        <v>348</v>
      </c>
      <c r="H74" s="81">
        <v>57.78473999999999</v>
      </c>
      <c r="I74" s="74"/>
      <c r="L74" s="82"/>
      <c r="M74" s="82"/>
    </row>
    <row r="75" spans="2:13" ht="13.5" thickBot="1">
      <c r="B75" s="76" t="s">
        <v>131</v>
      </c>
      <c r="C75" s="69"/>
      <c r="D75" s="77"/>
      <c r="E75" s="84">
        <f>'[1]W1_P_L Conso'!F15/1000</f>
        <v>43.1055</v>
      </c>
      <c r="F75" s="85">
        <f>'[1]W1_P_L Conso'!F33/1000</f>
        <v>-332.6766999999999</v>
      </c>
      <c r="G75" s="84">
        <v>0</v>
      </c>
      <c r="H75" s="84">
        <v>-6.627</v>
      </c>
      <c r="I75" s="74"/>
      <c r="L75" s="82"/>
      <c r="M75" s="82"/>
    </row>
    <row r="76" spans="2:13" ht="12.75">
      <c r="B76" s="76"/>
      <c r="C76" s="69"/>
      <c r="D76" s="77"/>
      <c r="E76" s="81">
        <f>SUM(E72:E75)</f>
        <v>46597.56809</v>
      </c>
      <c r="F76" s="81">
        <f>SUM(F72:F75)</f>
        <v>3169.112600000003</v>
      </c>
      <c r="G76" s="81">
        <v>36476.503820000005</v>
      </c>
      <c r="H76" s="81">
        <v>3736.7048100000056</v>
      </c>
      <c r="I76" s="74"/>
      <c r="L76" s="82"/>
      <c r="M76" s="82"/>
    </row>
    <row r="77" spans="2:13" ht="12.75">
      <c r="B77" s="86" t="s">
        <v>132</v>
      </c>
      <c r="C77" s="69"/>
      <c r="D77" s="77"/>
      <c r="E77" s="81"/>
      <c r="F77" s="83"/>
      <c r="G77" s="81"/>
      <c r="H77" s="81"/>
      <c r="I77" s="74"/>
      <c r="L77" s="82"/>
      <c r="M77" s="82"/>
    </row>
    <row r="78" spans="2:13" ht="12.75">
      <c r="B78" s="76" t="s">
        <v>133</v>
      </c>
      <c r="C78" s="69"/>
      <c r="D78" s="77"/>
      <c r="E78" s="81">
        <f>'[1]W1_P_L Conso'!O44/1000</f>
        <v>288</v>
      </c>
      <c r="F78" s="83"/>
      <c r="G78" s="81">
        <v>288</v>
      </c>
      <c r="H78" s="81"/>
      <c r="I78" s="74"/>
      <c r="L78" s="82"/>
      <c r="M78" s="82"/>
    </row>
    <row r="79" spans="2:13" ht="12.75">
      <c r="B79" s="76" t="s">
        <v>128</v>
      </c>
      <c r="C79" s="69"/>
      <c r="D79" s="77"/>
      <c r="E79" s="81">
        <f>'[1]W1_P_L Conso'!O42/1000+'[1]W1_P_L Conso'!O43/1000</f>
        <v>4627.83191</v>
      </c>
      <c r="F79" s="83"/>
      <c r="G79" s="81">
        <v>5416.91049</v>
      </c>
      <c r="H79" s="81"/>
      <c r="I79" s="74"/>
      <c r="L79" s="82"/>
      <c r="M79" s="82"/>
    </row>
    <row r="80" spans="2:13" ht="13.5" thickBot="1">
      <c r="B80" s="76"/>
      <c r="C80" s="69"/>
      <c r="D80" s="77"/>
      <c r="E80" s="87">
        <f>SUM(E76:E79)</f>
        <v>51513.4</v>
      </c>
      <c r="F80" s="69"/>
      <c r="G80" s="87">
        <v>42181.41431000001</v>
      </c>
      <c r="H80" s="69"/>
      <c r="I80" s="74"/>
      <c r="L80" s="82"/>
      <c r="M80" s="82"/>
    </row>
    <row r="81" spans="2:9" ht="12.75">
      <c r="B81" s="76"/>
      <c r="C81" s="69"/>
      <c r="D81" s="77"/>
      <c r="E81" s="81"/>
      <c r="F81" s="83"/>
      <c r="G81" s="81"/>
      <c r="H81" s="81"/>
      <c r="I81" s="74"/>
    </row>
    <row r="82" spans="2:9" ht="12.75">
      <c r="B82" s="72"/>
      <c r="D82" s="73"/>
      <c r="E82" s="73"/>
      <c r="F82" s="73"/>
      <c r="G82" s="73"/>
      <c r="H82" s="114"/>
      <c r="I82" s="114"/>
    </row>
    <row r="83" spans="2:9" ht="12.75">
      <c r="B83" s="72"/>
      <c r="D83" s="73"/>
      <c r="E83" s="73"/>
      <c r="F83" s="115"/>
      <c r="G83" s="115"/>
      <c r="H83" s="115"/>
      <c r="I83" s="115"/>
    </row>
    <row r="84" spans="2:9" ht="12.75">
      <c r="B84" s="76"/>
      <c r="C84" s="69"/>
      <c r="D84" s="77"/>
      <c r="E84" s="77"/>
      <c r="F84" s="75"/>
      <c r="G84" s="74"/>
      <c r="H84" s="74"/>
      <c r="I84" s="74"/>
    </row>
    <row r="85" spans="2:9" ht="12.75">
      <c r="B85" s="76"/>
      <c r="C85" s="69"/>
      <c r="D85" s="77"/>
      <c r="E85" s="77"/>
      <c r="F85" s="75"/>
      <c r="G85" s="74"/>
      <c r="H85" s="74"/>
      <c r="I85" s="74"/>
    </row>
    <row r="86" spans="2:9" ht="12.75">
      <c r="B86" s="76"/>
      <c r="C86" s="69"/>
      <c r="D86" s="77"/>
      <c r="E86" s="77"/>
      <c r="F86" s="75"/>
      <c r="G86" s="74"/>
      <c r="H86" s="74"/>
      <c r="I86" s="74"/>
    </row>
    <row r="87" spans="2:9" ht="12.75">
      <c r="B87" s="76"/>
      <c r="C87" s="69"/>
      <c r="D87" s="77"/>
      <c r="E87" s="77"/>
      <c r="F87" s="75"/>
      <c r="G87" s="74"/>
      <c r="H87" s="74"/>
      <c r="I87" s="74"/>
    </row>
    <row r="88" spans="2:9" ht="12.75">
      <c r="B88" s="76"/>
      <c r="C88" s="69"/>
      <c r="D88" s="77"/>
      <c r="E88" s="77"/>
      <c r="F88" s="75"/>
      <c r="G88" s="74"/>
      <c r="H88" s="74"/>
      <c r="I88" s="74"/>
    </row>
    <row r="89" spans="2:9" ht="12.75">
      <c r="B89" s="76"/>
      <c r="C89" s="69"/>
      <c r="D89" s="77"/>
      <c r="E89" s="77"/>
      <c r="F89" s="75"/>
      <c r="G89" s="74"/>
      <c r="H89" s="74"/>
      <c r="I89" s="74"/>
    </row>
    <row r="90" spans="2:9" ht="12.75">
      <c r="B90" s="76"/>
      <c r="C90" s="69"/>
      <c r="D90" s="77"/>
      <c r="E90" s="77"/>
      <c r="F90" s="75"/>
      <c r="G90" s="74"/>
      <c r="H90" s="74"/>
      <c r="I90" s="74"/>
    </row>
    <row r="91" spans="2:8" ht="12.75">
      <c r="B91" s="76"/>
      <c r="G91" s="80" t="s">
        <v>134</v>
      </c>
      <c r="H91" s="80" t="s">
        <v>8</v>
      </c>
    </row>
    <row r="92" spans="2:8" ht="12.75">
      <c r="B92" s="76"/>
      <c r="G92" s="80" t="s">
        <v>10</v>
      </c>
      <c r="H92" s="80" t="s">
        <v>11</v>
      </c>
    </row>
    <row r="93" spans="2:14" ht="12.75">
      <c r="B93" s="76"/>
      <c r="G93" s="80" t="s">
        <v>13</v>
      </c>
      <c r="H93" s="80" t="s">
        <v>13</v>
      </c>
      <c r="L93" s="88"/>
      <c r="M93" s="88"/>
      <c r="N93" s="89"/>
    </row>
    <row r="94" spans="2:14" ht="12.75">
      <c r="B94" s="76"/>
      <c r="F94" s="90"/>
      <c r="G94" s="80" t="s">
        <v>135</v>
      </c>
      <c r="H94" s="80" t="s">
        <v>135</v>
      </c>
      <c r="L94" s="88"/>
      <c r="M94" s="88"/>
      <c r="N94" s="89"/>
    </row>
    <row r="95" spans="2:14" ht="12.75">
      <c r="B95" s="76" t="s">
        <v>136</v>
      </c>
      <c r="F95" s="90"/>
      <c r="G95" s="91">
        <f>+'[1]Det P_L'!B225</f>
        <v>18846.30007</v>
      </c>
      <c r="H95" s="91">
        <f>+'[1]Det P_L'!F225</f>
        <v>36005.38429</v>
      </c>
      <c r="K95" s="90"/>
      <c r="L95" s="88"/>
      <c r="M95" s="88"/>
      <c r="N95" s="89"/>
    </row>
    <row r="96" spans="2:14" ht="12.75">
      <c r="B96" s="76" t="s">
        <v>137</v>
      </c>
      <c r="F96" s="90"/>
      <c r="G96" s="91">
        <f>+'[1]Det P_L'!B226</f>
        <v>13353.212029999999</v>
      </c>
      <c r="H96" s="91">
        <f>+'[1]Det P_L'!F226</f>
        <v>23430.74571</v>
      </c>
      <c r="K96" s="90"/>
      <c r="L96" s="88"/>
      <c r="M96" s="88"/>
      <c r="N96" s="89"/>
    </row>
    <row r="97" spans="2:14" ht="12.75">
      <c r="B97" s="76" t="s">
        <v>138</v>
      </c>
      <c r="F97" s="90"/>
      <c r="G97" s="91">
        <f>+'[1]Det P_L'!B227</f>
        <v>7568.030870000001</v>
      </c>
      <c r="H97" s="91">
        <f>+'[1]Det P_L'!F227</f>
        <v>14288.759750000001</v>
      </c>
      <c r="K97" s="90"/>
      <c r="L97" s="88"/>
      <c r="M97" s="88"/>
      <c r="N97" s="89"/>
    </row>
    <row r="98" spans="2:14" ht="12.75">
      <c r="B98" s="76" t="s">
        <v>139</v>
      </c>
      <c r="F98" s="90"/>
      <c r="G98" s="91">
        <f>+'[1]Det P_L'!B228</f>
        <v>4652.15734</v>
      </c>
      <c r="H98" s="91">
        <f>+'[1]Det P_L'!F228</f>
        <v>7332.42433</v>
      </c>
      <c r="K98" s="90"/>
      <c r="L98" s="88"/>
      <c r="M98" s="88"/>
      <c r="N98" s="89"/>
    </row>
    <row r="99" spans="2:14" ht="12.75">
      <c r="B99" s="76" t="s">
        <v>140</v>
      </c>
      <c r="F99" s="90"/>
      <c r="G99" s="91">
        <f>+'[1]Det P_L'!B229</f>
        <v>1061.3538799999997</v>
      </c>
      <c r="H99" s="91">
        <f>+'[1]Det P_L'!F229</f>
        <v>3784.2773799999995</v>
      </c>
      <c r="K99" s="90"/>
      <c r="L99" s="88"/>
      <c r="M99" s="88"/>
      <c r="N99" s="92"/>
    </row>
    <row r="100" spans="2:14" ht="12.75">
      <c r="B100" s="76" t="s">
        <v>141</v>
      </c>
      <c r="F100" s="90"/>
      <c r="G100" s="91">
        <f>+'[1]Det P_L'!B230</f>
        <v>1116.5140000000001</v>
      </c>
      <c r="H100" s="91">
        <f>+'[1]Det P_L'!F230</f>
        <v>2124.33613</v>
      </c>
      <c r="K100" s="90"/>
      <c r="L100" s="88"/>
      <c r="M100" s="88"/>
      <c r="N100" s="89"/>
    </row>
    <row r="101" spans="2:14" ht="13.5" thickBot="1">
      <c r="B101" s="76"/>
      <c r="F101" s="81"/>
      <c r="G101" s="93">
        <f>SUM(G95:G100)</f>
        <v>46597.568190000005</v>
      </c>
      <c r="H101" s="93">
        <f>SUM(H95:H100)</f>
        <v>86965.92758999999</v>
      </c>
      <c r="K101" s="94"/>
      <c r="L101" s="88"/>
      <c r="M101" s="88"/>
      <c r="N101" s="95"/>
    </row>
    <row r="102" spans="2:8" ht="13.5" thickTop="1">
      <c r="B102" s="76"/>
      <c r="C102" s="69"/>
      <c r="D102" s="74"/>
      <c r="E102" s="74"/>
      <c r="F102" s="81"/>
      <c r="G102" s="96"/>
      <c r="H102" s="96"/>
    </row>
    <row r="103" spans="2:8" ht="12.75">
      <c r="B103" s="76"/>
      <c r="C103" s="69"/>
      <c r="D103" s="74"/>
      <c r="E103" s="74"/>
      <c r="F103" s="81"/>
      <c r="G103" s="74"/>
      <c r="H103" s="74"/>
    </row>
    <row r="104" spans="1:7" ht="12.75">
      <c r="A104" s="70" t="s">
        <v>142</v>
      </c>
      <c r="B104" s="71" t="s">
        <v>143</v>
      </c>
      <c r="G104" s="97"/>
    </row>
    <row r="111" spans="1:4" ht="12.75">
      <c r="A111" s="70" t="s">
        <v>144</v>
      </c>
      <c r="B111" s="71" t="s">
        <v>145</v>
      </c>
      <c r="D111" s="68" t="s">
        <v>146</v>
      </c>
    </row>
    <row r="118" spans="1:2" ht="12.75">
      <c r="A118" s="70" t="s">
        <v>147</v>
      </c>
      <c r="B118" s="71" t="s">
        <v>148</v>
      </c>
    </row>
    <row r="120" ht="12.75">
      <c r="B120" s="68" t="s">
        <v>149</v>
      </c>
    </row>
    <row r="121" ht="12.75">
      <c r="B121" s="68" t="s">
        <v>150</v>
      </c>
    </row>
    <row r="123" ht="12.75">
      <c r="B123" s="68" t="s">
        <v>151</v>
      </c>
    </row>
    <row r="124" ht="12.75">
      <c r="B124" s="68" t="s">
        <v>152</v>
      </c>
    </row>
    <row r="125" ht="12.75">
      <c r="B125" s="68" t="s">
        <v>153</v>
      </c>
    </row>
    <row r="126" ht="12.75">
      <c r="B126" s="68" t="s">
        <v>154</v>
      </c>
    </row>
    <row r="127" ht="12.75">
      <c r="B127" s="68" t="s">
        <v>155</v>
      </c>
    </row>
    <row r="129" ht="12.75">
      <c r="B129" s="68" t="s">
        <v>156</v>
      </c>
    </row>
    <row r="130" ht="12.75">
      <c r="B130" s="68" t="s">
        <v>157</v>
      </c>
    </row>
    <row r="131" ht="12.75">
      <c r="B131" s="68" t="s">
        <v>158</v>
      </c>
    </row>
    <row r="132" ht="12.75">
      <c r="B132" s="68" t="s">
        <v>159</v>
      </c>
    </row>
    <row r="133" ht="12.75">
      <c r="B133" s="68" t="s">
        <v>160</v>
      </c>
    </row>
    <row r="134" ht="12.75">
      <c r="B134" s="68" t="s">
        <v>161</v>
      </c>
    </row>
    <row r="135" ht="12.75">
      <c r="B135" s="68" t="s">
        <v>162</v>
      </c>
    </row>
    <row r="137" spans="1:2" ht="12.75">
      <c r="A137" s="70" t="s">
        <v>163</v>
      </c>
      <c r="B137" s="71" t="s">
        <v>164</v>
      </c>
    </row>
    <row r="138" ht="12.75">
      <c r="B138" s="71"/>
    </row>
    <row r="144" spans="1:2" ht="12.75">
      <c r="A144" s="70" t="s">
        <v>165</v>
      </c>
      <c r="B144" s="71" t="s">
        <v>166</v>
      </c>
    </row>
    <row r="146" ht="12.75">
      <c r="B146" s="68" t="s">
        <v>167</v>
      </c>
    </row>
    <row r="147" ht="12.75">
      <c r="H147" s="80" t="s">
        <v>168</v>
      </c>
    </row>
    <row r="148" spans="7:8" ht="12.75">
      <c r="G148" s="80"/>
      <c r="H148" s="80" t="s">
        <v>13</v>
      </c>
    </row>
    <row r="149" ht="12.75">
      <c r="H149" s="80" t="s">
        <v>15</v>
      </c>
    </row>
    <row r="150" spans="2:8" ht="12.75">
      <c r="B150" s="68" t="s">
        <v>169</v>
      </c>
      <c r="H150" s="98">
        <f>472+2475</f>
        <v>2947</v>
      </c>
    </row>
    <row r="151" spans="2:8" ht="12.75">
      <c r="B151" s="68" t="s">
        <v>170</v>
      </c>
      <c r="H151" s="98"/>
    </row>
    <row r="152" ht="13.5" thickBot="1">
      <c r="H152" s="93">
        <f>H150+H151</f>
        <v>2947</v>
      </c>
    </row>
    <row r="153" ht="13.5" thickTop="1"/>
    <row r="155" ht="12.75">
      <c r="A155" s="70" t="s">
        <v>171</v>
      </c>
    </row>
    <row r="157" spans="1:2" ht="12.75">
      <c r="A157" s="70" t="s">
        <v>172</v>
      </c>
      <c r="B157" s="71" t="s">
        <v>173</v>
      </c>
    </row>
    <row r="164" ht="12.75">
      <c r="B164" s="71"/>
    </row>
    <row r="165" ht="12.75">
      <c r="B165" s="71"/>
    </row>
    <row r="166" ht="12.75">
      <c r="B166" s="71"/>
    </row>
    <row r="167" ht="12.75">
      <c r="B167" s="71"/>
    </row>
    <row r="168" ht="12.75">
      <c r="B168" s="71"/>
    </row>
    <row r="169" ht="12.75">
      <c r="B169" s="71"/>
    </row>
    <row r="170" ht="12.75">
      <c r="B170" s="71"/>
    </row>
    <row r="171" spans="1:2" ht="12.75">
      <c r="A171" s="70" t="s">
        <v>174</v>
      </c>
      <c r="B171" s="71" t="s">
        <v>175</v>
      </c>
    </row>
    <row r="179" spans="1:2" ht="12.75">
      <c r="A179" s="70" t="s">
        <v>176</v>
      </c>
      <c r="B179" s="71" t="s">
        <v>177</v>
      </c>
    </row>
    <row r="193" spans="1:2" ht="12.75">
      <c r="A193" s="70" t="s">
        <v>178</v>
      </c>
      <c r="B193" s="71" t="s">
        <v>21</v>
      </c>
    </row>
    <row r="194" spans="6:8" ht="12.75">
      <c r="F194" s="80" t="s">
        <v>134</v>
      </c>
      <c r="H194" s="80" t="s">
        <v>8</v>
      </c>
    </row>
    <row r="195" spans="6:8" ht="12.75">
      <c r="F195" s="80" t="s">
        <v>10</v>
      </c>
      <c r="H195" s="80" t="s">
        <v>11</v>
      </c>
    </row>
    <row r="196" spans="6:8" ht="12.75">
      <c r="F196" s="80" t="s">
        <v>13</v>
      </c>
      <c r="H196" s="80" t="s">
        <v>13</v>
      </c>
    </row>
    <row r="197" spans="6:8" ht="12.75">
      <c r="F197" s="80" t="s">
        <v>15</v>
      </c>
      <c r="H197" s="80" t="s">
        <v>15</v>
      </c>
    </row>
    <row r="198" ht="12.75">
      <c r="B198" s="99" t="s">
        <v>179</v>
      </c>
    </row>
    <row r="199" ht="13.5">
      <c r="B199" s="100" t="s">
        <v>180</v>
      </c>
    </row>
    <row r="200" spans="6:8" ht="12.75" customHeight="1" hidden="1">
      <c r="F200" s="98"/>
      <c r="G200" s="98"/>
      <c r="H200" s="98"/>
    </row>
    <row r="201" spans="2:13" ht="12.75">
      <c r="B201" s="68" t="s">
        <v>181</v>
      </c>
      <c r="F201" s="98">
        <f>-'[1]W1_P_L Conso'!K31/1000-261</f>
        <v>293.32693359999996</v>
      </c>
      <c r="G201" s="98"/>
      <c r="H201" s="98">
        <f>-'[1]W1_P_L Conso'!P31/1000</f>
        <v>554.3269336</v>
      </c>
      <c r="K201" s="98"/>
      <c r="L201" s="98"/>
      <c r="M201" s="98"/>
    </row>
    <row r="202" spans="2:13" ht="12.75">
      <c r="B202" s="68" t="s">
        <v>182</v>
      </c>
      <c r="F202" s="98">
        <f>(-(SUM('[1]Det P_L'!B210+'[1]Det P_L'!C210)-SUM('[1]Det P_L'!F210+'[1]Det P_L'!G210)))/1000</f>
        <v>0</v>
      </c>
      <c r="G202" s="98"/>
      <c r="H202" s="98">
        <f>-SUM('[1]Det P_L'!C210+'[1]Det P_L'!B210)/1000</f>
        <v>0</v>
      </c>
      <c r="K202" s="101"/>
      <c r="M202" s="98"/>
    </row>
    <row r="203" spans="6:8" ht="13.5" thickBot="1">
      <c r="F203" s="102">
        <f>SUM(F201:F202)</f>
        <v>293.32693359999996</v>
      </c>
      <c r="G203" s="98"/>
      <c r="H203" s="102">
        <f>SUM(H201:H202)</f>
        <v>554.3269336</v>
      </c>
    </row>
    <row r="204" ht="13.5" thickTop="1"/>
    <row r="211" spans="1:2" ht="12.75">
      <c r="A211" s="70" t="s">
        <v>183</v>
      </c>
      <c r="B211" s="71" t="s">
        <v>184</v>
      </c>
    </row>
    <row r="218" spans="1:2" ht="12.75">
      <c r="A218" s="70" t="s">
        <v>185</v>
      </c>
      <c r="B218" s="71" t="s">
        <v>186</v>
      </c>
    </row>
    <row r="225" spans="1:2" ht="12.75">
      <c r="A225" s="70" t="s">
        <v>187</v>
      </c>
      <c r="B225" s="71" t="s">
        <v>188</v>
      </c>
    </row>
    <row r="228" ht="12.75">
      <c r="H228" s="101"/>
    </row>
    <row r="229" ht="12.75">
      <c r="H229" s="101"/>
    </row>
    <row r="230" ht="12.75">
      <c r="H230" s="101"/>
    </row>
    <row r="231" ht="12.75">
      <c r="H231" s="101"/>
    </row>
    <row r="232" ht="12.75">
      <c r="H232" s="101"/>
    </row>
    <row r="233" ht="12.75">
      <c r="H233" s="101"/>
    </row>
    <row r="234" ht="12.75">
      <c r="H234" s="101"/>
    </row>
    <row r="235" ht="12.75">
      <c r="H235" s="101"/>
    </row>
    <row r="236" ht="12.75">
      <c r="H236" s="101"/>
    </row>
    <row r="237" ht="12.75">
      <c r="H237" s="101"/>
    </row>
    <row r="238" ht="12.75">
      <c r="H238" s="101"/>
    </row>
    <row r="239" ht="12.75">
      <c r="H239" s="101"/>
    </row>
    <row r="240" ht="12.75">
      <c r="H240" s="101"/>
    </row>
    <row r="241" ht="12.75">
      <c r="H241" s="101"/>
    </row>
    <row r="242" ht="12.75">
      <c r="H242" s="101"/>
    </row>
    <row r="243" ht="12.75">
      <c r="H243" s="101"/>
    </row>
    <row r="244" ht="12.75">
      <c r="H244" s="101"/>
    </row>
    <row r="245" ht="12.75">
      <c r="H245" s="101"/>
    </row>
    <row r="246" ht="12.75">
      <c r="H246" s="101"/>
    </row>
    <row r="247" ht="12.75">
      <c r="H247" s="101"/>
    </row>
    <row r="248" ht="12.75">
      <c r="H248" s="101"/>
    </row>
    <row r="249" ht="12.75">
      <c r="H249" s="101"/>
    </row>
    <row r="250" ht="12.75">
      <c r="H250" s="101"/>
    </row>
    <row r="251" ht="12.75">
      <c r="H251" s="101"/>
    </row>
    <row r="252" ht="12.75">
      <c r="H252" s="101"/>
    </row>
    <row r="253" ht="12.75">
      <c r="H253" s="101"/>
    </row>
    <row r="254" ht="12.75">
      <c r="H254" s="101"/>
    </row>
    <row r="255" ht="12.75">
      <c r="H255" s="101"/>
    </row>
    <row r="256" ht="12.75">
      <c r="H256" s="101"/>
    </row>
    <row r="257" ht="12.75">
      <c r="H257" s="101"/>
    </row>
    <row r="258" ht="12.75">
      <c r="H258" s="101"/>
    </row>
    <row r="259" ht="12.75">
      <c r="H259" s="101"/>
    </row>
    <row r="260" ht="12.75">
      <c r="H260" s="101"/>
    </row>
    <row r="261" ht="12.75">
      <c r="H261" s="101"/>
    </row>
    <row r="262" spans="1:2" ht="12.75">
      <c r="A262" s="70" t="s">
        <v>189</v>
      </c>
      <c r="B262" s="71" t="s">
        <v>190</v>
      </c>
    </row>
    <row r="263" ht="12.75">
      <c r="B263" s="68" t="s">
        <v>191</v>
      </c>
    </row>
    <row r="264" spans="2:8" ht="12.75">
      <c r="B264" s="71"/>
      <c r="F264" s="80"/>
      <c r="G264" s="80"/>
      <c r="H264" s="80" t="s">
        <v>192</v>
      </c>
    </row>
    <row r="265" spans="6:8" ht="12.75">
      <c r="F265" s="80"/>
      <c r="G265" s="80"/>
      <c r="H265" s="80" t="s">
        <v>13</v>
      </c>
    </row>
    <row r="266" spans="5:8" ht="12.75">
      <c r="E266" s="80"/>
      <c r="F266" s="80" t="s">
        <v>193</v>
      </c>
      <c r="G266" s="80" t="s">
        <v>194</v>
      </c>
      <c r="H266" s="80" t="s">
        <v>68</v>
      </c>
    </row>
    <row r="267" spans="6:8" ht="12.75">
      <c r="F267" s="80" t="s">
        <v>15</v>
      </c>
      <c r="G267" s="80" t="s">
        <v>15</v>
      </c>
      <c r="H267" s="80" t="s">
        <v>15</v>
      </c>
    </row>
    <row r="269" spans="2:8" ht="12.75">
      <c r="B269" s="68" t="s">
        <v>50</v>
      </c>
      <c r="E269" s="98"/>
      <c r="F269" s="98">
        <f>'[1]BS'!B28</f>
        <v>28680.514909999998</v>
      </c>
      <c r="G269" s="98">
        <v>0</v>
      </c>
      <c r="H269" s="98">
        <f>SUM(F269:G269)</f>
        <v>28680.514909999998</v>
      </c>
    </row>
    <row r="270" spans="2:8" ht="12.75">
      <c r="B270" s="68" t="s">
        <v>195</v>
      </c>
      <c r="E270" s="98"/>
      <c r="F270" s="98">
        <f>'[1]BS'!B42</f>
        <v>27892.329619999997</v>
      </c>
      <c r="G270" s="98">
        <v>0</v>
      </c>
      <c r="H270" s="98">
        <f>SUM(F270:G270)</f>
        <v>27892.329619999997</v>
      </c>
    </row>
    <row r="271" spans="2:8" ht="13.5" thickBot="1">
      <c r="B271" s="68" t="s">
        <v>68</v>
      </c>
      <c r="F271" s="93">
        <f>SUM(F269:F270)</f>
        <v>56572.844529999995</v>
      </c>
      <c r="G271" s="93">
        <f>SUM(G269:G270)</f>
        <v>0</v>
      </c>
      <c r="H271" s="93">
        <f>SUM(H269:H270)</f>
        <v>56572.844529999995</v>
      </c>
    </row>
    <row r="272" ht="13.5" thickTop="1"/>
    <row r="276" ht="12.75">
      <c r="H276" s="98"/>
    </row>
    <row r="277" spans="1:2" ht="12.75">
      <c r="A277" s="70" t="s">
        <v>196</v>
      </c>
      <c r="B277" s="71" t="s">
        <v>197</v>
      </c>
    </row>
    <row r="278" ht="12.75">
      <c r="B278" s="71"/>
    </row>
    <row r="279" ht="12.75">
      <c r="B279" s="71"/>
    </row>
    <row r="280" ht="12.75">
      <c r="B280" s="71"/>
    </row>
    <row r="283" spans="1:8" ht="12.75">
      <c r="A283" s="70" t="s">
        <v>198</v>
      </c>
      <c r="B283" s="71" t="s">
        <v>199</v>
      </c>
      <c r="H283" s="80"/>
    </row>
    <row r="289" spans="1:2" ht="12.75">
      <c r="A289" s="70" t="s">
        <v>200</v>
      </c>
      <c r="B289" s="71" t="s">
        <v>201</v>
      </c>
    </row>
    <row r="290" spans="6:8" ht="12.75">
      <c r="F290" s="103"/>
      <c r="G290" s="98"/>
      <c r="H290" s="103"/>
    </row>
    <row r="291" spans="6:8" ht="12.75">
      <c r="F291" s="104"/>
      <c r="G291" s="98"/>
      <c r="H291" s="104"/>
    </row>
    <row r="292" spans="6:8" ht="12.75">
      <c r="F292" s="104"/>
      <c r="G292" s="98"/>
      <c r="H292" s="104"/>
    </row>
    <row r="293" spans="6:8" ht="12.75">
      <c r="F293" s="104"/>
      <c r="G293" s="98"/>
      <c r="H293" s="104"/>
    </row>
    <row r="294" spans="6:8" ht="12.75">
      <c r="F294" s="104"/>
      <c r="G294" s="98"/>
      <c r="H294" s="104"/>
    </row>
    <row r="295" spans="6:8" ht="12.75">
      <c r="F295" s="104"/>
      <c r="G295" s="98"/>
      <c r="H295" s="104"/>
    </row>
    <row r="296" spans="6:8" ht="12.75">
      <c r="F296" s="104"/>
      <c r="G296" s="98"/>
      <c r="H296" s="104"/>
    </row>
    <row r="297" spans="1:2" ht="12.75">
      <c r="A297" s="70" t="s">
        <v>202</v>
      </c>
      <c r="B297" s="71" t="s">
        <v>203</v>
      </c>
    </row>
    <row r="298" ht="12.75">
      <c r="B298" s="71"/>
    </row>
    <row r="299" ht="12.75">
      <c r="B299" s="68" t="s">
        <v>204</v>
      </c>
    </row>
    <row r="300" ht="9.75" customHeight="1"/>
    <row r="301" spans="2:10" ht="12.75">
      <c r="B301" s="71"/>
      <c r="F301" s="105" t="s">
        <v>205</v>
      </c>
      <c r="G301" s="105"/>
      <c r="H301" s="105" t="s">
        <v>93</v>
      </c>
      <c r="I301" s="105"/>
      <c r="J301" s="106"/>
    </row>
    <row r="302" spans="2:10" ht="12.75">
      <c r="B302" s="71"/>
      <c r="F302" s="80" t="s">
        <v>8</v>
      </c>
      <c r="G302" s="80"/>
      <c r="H302" s="80" t="s">
        <v>8</v>
      </c>
      <c r="I302" s="105"/>
      <c r="J302" s="106"/>
    </row>
    <row r="303" spans="2:10" ht="12.75">
      <c r="B303" s="71"/>
      <c r="F303" s="105" t="s">
        <v>10</v>
      </c>
      <c r="G303" s="105"/>
      <c r="H303" s="105" t="s">
        <v>11</v>
      </c>
      <c r="I303" s="105"/>
      <c r="J303" s="106"/>
    </row>
    <row r="304" spans="6:8" ht="12.75">
      <c r="F304" s="80" t="s">
        <v>13</v>
      </c>
      <c r="G304" s="80"/>
      <c r="H304" s="80" t="s">
        <v>13</v>
      </c>
    </row>
    <row r="305" spans="2:8" ht="12.75">
      <c r="B305" s="68" t="s">
        <v>206</v>
      </c>
      <c r="F305" s="80"/>
      <c r="H305" s="80"/>
    </row>
    <row r="306" spans="2:8" ht="13.5" thickBot="1">
      <c r="B306" s="68" t="s">
        <v>207</v>
      </c>
      <c r="F306" s="107">
        <f>'[1]IS'!B42</f>
        <v>2875.7856664000033</v>
      </c>
      <c r="G306" s="98"/>
      <c r="H306" s="107">
        <f>'[1]IS'!F42</f>
        <v>6001.844584026098</v>
      </c>
    </row>
    <row r="307" spans="6:8" ht="13.5" thickTop="1">
      <c r="F307" s="80"/>
      <c r="G307" s="98"/>
      <c r="H307" s="103"/>
    </row>
    <row r="308" spans="2:8" ht="12.75">
      <c r="B308" s="68" t="s">
        <v>208</v>
      </c>
      <c r="F308" s="104"/>
      <c r="G308" s="98"/>
      <c r="H308" s="104"/>
    </row>
    <row r="309" spans="2:8" ht="13.5" thickBot="1">
      <c r="B309" s="68" t="s">
        <v>209</v>
      </c>
      <c r="F309" s="107">
        <f>'[1]Weighted Shares'!E39/1000</f>
        <v>254571.42857142858</v>
      </c>
      <c r="G309" s="98"/>
      <c r="H309" s="107">
        <f>'[1]Weighted Shares'!E17/1000</f>
        <v>254571.42857142858</v>
      </c>
    </row>
    <row r="310" spans="6:8" ht="13.5" thickTop="1">
      <c r="F310" s="103"/>
      <c r="G310" s="98"/>
      <c r="H310" s="103"/>
    </row>
    <row r="311" spans="2:8" ht="13.5" thickBot="1">
      <c r="B311" s="68" t="s">
        <v>210</v>
      </c>
      <c r="F311" s="108">
        <f>'[1]Weighted Shares'!E44</f>
        <v>1.1296577444426918</v>
      </c>
      <c r="G311" s="98"/>
      <c r="H311" s="108">
        <f>'[1]Weighted Shares'!E22</f>
        <v>2.3576260901217063</v>
      </c>
    </row>
    <row r="312" spans="6:8" ht="13.5" thickTop="1">
      <c r="F312" s="82"/>
      <c r="G312" s="98"/>
      <c r="H312" s="82"/>
    </row>
    <row r="313" spans="6:8" ht="12.75">
      <c r="F313" s="82"/>
      <c r="G313" s="98"/>
      <c r="H313" s="82"/>
    </row>
    <row r="314" spans="6:8" ht="12.75">
      <c r="F314" s="103"/>
      <c r="G314" s="98"/>
      <c r="H314" s="103"/>
    </row>
    <row r="315" spans="6:8" ht="12.75">
      <c r="F315" s="80"/>
      <c r="H315" s="80"/>
    </row>
    <row r="316" spans="6:8" ht="12.75">
      <c r="F316" s="80"/>
      <c r="H316" s="80"/>
    </row>
    <row r="317" spans="6:8" ht="12.75">
      <c r="F317" s="80"/>
      <c r="H317" s="80"/>
    </row>
    <row r="318" spans="6:8" ht="12.75">
      <c r="F318" s="80"/>
      <c r="H318" s="80"/>
    </row>
    <row r="319" spans="6:8" ht="9" customHeight="1">
      <c r="F319" s="80"/>
      <c r="H319" s="80"/>
    </row>
    <row r="320" spans="6:8" ht="9" customHeight="1">
      <c r="F320" s="80"/>
      <c r="H320" s="80"/>
    </row>
    <row r="321" spans="6:8" ht="8.25" customHeight="1">
      <c r="F321" s="80"/>
      <c r="H321" s="80"/>
    </row>
    <row r="322" spans="6:8" ht="12.75">
      <c r="F322" s="105" t="s">
        <v>205</v>
      </c>
      <c r="G322" s="105"/>
      <c r="H322" s="105" t="s">
        <v>93</v>
      </c>
    </row>
    <row r="323" spans="6:8" ht="12.75">
      <c r="F323" s="80" t="s">
        <v>8</v>
      </c>
      <c r="G323" s="80"/>
      <c r="H323" s="80" t="s">
        <v>8</v>
      </c>
    </row>
    <row r="324" spans="6:8" ht="12.75">
      <c r="F324" s="105" t="s">
        <v>10</v>
      </c>
      <c r="G324" s="105"/>
      <c r="H324" s="105" t="s">
        <v>11</v>
      </c>
    </row>
    <row r="325" spans="6:8" ht="12.75">
      <c r="F325" s="80" t="s">
        <v>38</v>
      </c>
      <c r="G325" s="80"/>
      <c r="H325" s="80" t="s">
        <v>38</v>
      </c>
    </row>
    <row r="326" spans="2:8" ht="12.75">
      <c r="B326" s="68" t="s">
        <v>208</v>
      </c>
      <c r="F326" s="80"/>
      <c r="G326" s="80"/>
      <c r="H326" s="80"/>
    </row>
    <row r="327" spans="2:8" ht="12.75">
      <c r="B327" s="68" t="s">
        <v>209</v>
      </c>
      <c r="F327" s="109">
        <v>245143</v>
      </c>
      <c r="G327" s="101"/>
      <c r="H327" s="109">
        <v>245143</v>
      </c>
    </row>
    <row r="328" spans="2:8" ht="12.75">
      <c r="B328" s="68" t="s">
        <v>211</v>
      </c>
      <c r="F328" s="110">
        <v>0</v>
      </c>
      <c r="G328" s="98"/>
      <c r="H328" s="110">
        <v>0</v>
      </c>
    </row>
    <row r="329" spans="6:8" ht="12.75">
      <c r="F329" s="109"/>
      <c r="G329" s="98"/>
      <c r="H329" s="109"/>
    </row>
    <row r="330" spans="2:8" ht="12.75">
      <c r="B330" s="68" t="s">
        <v>212</v>
      </c>
      <c r="F330" s="109"/>
      <c r="G330" s="98"/>
      <c r="H330" s="109"/>
    </row>
    <row r="331" spans="2:8" ht="13.5" thickBot="1">
      <c r="B331" s="68" t="s">
        <v>209</v>
      </c>
      <c r="F331" s="107">
        <f>+F327</f>
        <v>245143</v>
      </c>
      <c r="G331" s="98"/>
      <c r="H331" s="107">
        <f>+H327</f>
        <v>245143</v>
      </c>
    </row>
    <row r="332" spans="6:8" ht="13.5" thickTop="1">
      <c r="F332" s="80"/>
      <c r="H332" s="80"/>
    </row>
    <row r="333" spans="2:8" ht="13.5" thickBot="1">
      <c r="B333" s="68" t="s">
        <v>213</v>
      </c>
      <c r="F333" s="111">
        <f>'[1]Weighted Shares'!E51</f>
        <v>1.1296577444426918</v>
      </c>
      <c r="G333" s="98"/>
      <c r="H333" s="111">
        <f>'[1]Weighted Shares'!E29</f>
        <v>2.3576260901217063</v>
      </c>
    </row>
    <row r="334" spans="6:8" ht="13.5" thickTop="1">
      <c r="F334" s="80"/>
      <c r="H334" s="80"/>
    </row>
    <row r="335" spans="6:8" ht="12.75">
      <c r="F335" s="80"/>
      <c r="H335" s="80"/>
    </row>
    <row r="336" spans="6:8" ht="12.75">
      <c r="F336" s="80"/>
      <c r="H336" s="80"/>
    </row>
    <row r="337" spans="6:8" ht="12.75">
      <c r="F337" s="80"/>
      <c r="H337" s="80"/>
    </row>
    <row r="338" spans="6:8" ht="12.75">
      <c r="F338" s="80"/>
      <c r="H338" s="80"/>
    </row>
    <row r="339" spans="1:8" ht="12.75">
      <c r="A339" s="70" t="s">
        <v>214</v>
      </c>
      <c r="B339" s="71" t="s">
        <v>215</v>
      </c>
      <c r="F339" s="80"/>
      <c r="H339" s="80"/>
    </row>
    <row r="340" spans="6:8" ht="12.75">
      <c r="F340" s="80"/>
      <c r="H340" s="80"/>
    </row>
    <row r="341" spans="6:8" ht="12.75">
      <c r="F341" s="80"/>
      <c r="H341" s="80"/>
    </row>
    <row r="342" spans="6:8" ht="12.75">
      <c r="F342" s="80"/>
      <c r="H342" s="80"/>
    </row>
    <row r="343" spans="6:8" ht="12.75">
      <c r="F343" s="80"/>
      <c r="H343" s="80"/>
    </row>
    <row r="344" spans="6:7" ht="12.75">
      <c r="F344" s="80" t="s">
        <v>216</v>
      </c>
      <c r="G344" s="80"/>
    </row>
    <row r="345" spans="6:8" ht="12.75">
      <c r="F345" s="80" t="s">
        <v>217</v>
      </c>
      <c r="G345" s="80"/>
      <c r="H345" s="80" t="s">
        <v>218</v>
      </c>
    </row>
    <row r="346" spans="6:8" ht="12.75">
      <c r="F346" s="80" t="s">
        <v>219</v>
      </c>
      <c r="G346" s="80"/>
      <c r="H346" s="80" t="s">
        <v>220</v>
      </c>
    </row>
    <row r="347" spans="6:8" ht="12.75">
      <c r="F347" s="80" t="s">
        <v>221</v>
      </c>
      <c r="G347" s="80"/>
      <c r="H347" s="80"/>
    </row>
    <row r="348" spans="6:8" ht="12.75">
      <c r="F348" s="80" t="s">
        <v>15</v>
      </c>
      <c r="G348" s="80"/>
      <c r="H348" s="80" t="s">
        <v>15</v>
      </c>
    </row>
    <row r="349" ht="12.75">
      <c r="G349" s="80"/>
    </row>
    <row r="350" spans="2:8" ht="12.75">
      <c r="B350" s="68" t="s">
        <v>222</v>
      </c>
      <c r="F350" s="98">
        <v>25000</v>
      </c>
      <c r="G350" s="104"/>
      <c r="H350" s="109">
        <f>5568</f>
        <v>5568</v>
      </c>
    </row>
    <row r="351" spans="2:8" ht="12.75">
      <c r="B351" s="68" t="s">
        <v>223</v>
      </c>
      <c r="F351" s="109">
        <v>15000</v>
      </c>
      <c r="H351" s="109">
        <v>15000</v>
      </c>
    </row>
    <row r="352" spans="2:8" ht="12.75">
      <c r="B352" s="68" t="s">
        <v>224</v>
      </c>
      <c r="F352" s="109">
        <v>24600</v>
      </c>
      <c r="G352" s="104"/>
      <c r="H352" s="109">
        <v>100</v>
      </c>
    </row>
    <row r="353" spans="2:8" ht="12.75">
      <c r="B353" s="68" t="s">
        <v>225</v>
      </c>
      <c r="F353" s="109">
        <v>1400</v>
      </c>
      <c r="G353" s="104"/>
      <c r="H353" s="109">
        <v>1400</v>
      </c>
    </row>
    <row r="354" spans="2:9" ht="12.75">
      <c r="B354" s="68" t="s">
        <v>226</v>
      </c>
      <c r="F354" s="109">
        <v>0</v>
      </c>
      <c r="G354" s="104"/>
      <c r="H354" s="109">
        <v>43932</v>
      </c>
      <c r="I354" s="68" t="s">
        <v>227</v>
      </c>
    </row>
    <row r="355" spans="6:8" ht="13.5" thickBot="1">
      <c r="F355" s="93">
        <f>SUM(F350:F354)</f>
        <v>66000</v>
      </c>
      <c r="G355" s="80"/>
      <c r="H355" s="93">
        <f>SUM(H350:H354)</f>
        <v>66000</v>
      </c>
    </row>
    <row r="356" spans="6:8" ht="13.5" thickTop="1">
      <c r="F356" s="80"/>
      <c r="H356" s="104"/>
    </row>
    <row r="357" spans="1:8" ht="12.75">
      <c r="A357" s="70" t="s">
        <v>227</v>
      </c>
      <c r="B357" s="68" t="s">
        <v>228</v>
      </c>
      <c r="F357" s="80"/>
      <c r="H357" s="80"/>
    </row>
    <row r="358" spans="2:8" ht="12.75">
      <c r="B358" s="68" t="s">
        <v>229</v>
      </c>
      <c r="F358" s="80"/>
      <c r="H358" s="80"/>
    </row>
    <row r="359" spans="6:8" ht="12.75">
      <c r="F359" s="80"/>
      <c r="H359" s="80"/>
    </row>
    <row r="360" spans="6:8" ht="12.75">
      <c r="F360" s="80"/>
      <c r="H360" s="80"/>
    </row>
    <row r="361" spans="1:8" ht="12.75">
      <c r="A361" s="71" t="s">
        <v>230</v>
      </c>
      <c r="B361" s="71"/>
      <c r="F361" s="80"/>
      <c r="H361" s="80"/>
    </row>
    <row r="362" spans="1:8" ht="12.75">
      <c r="A362" s="71" t="s">
        <v>231</v>
      </c>
      <c r="B362" s="71"/>
      <c r="F362" s="80"/>
      <c r="H362" s="80"/>
    </row>
    <row r="363" spans="1:8" ht="12.75">
      <c r="A363" s="71"/>
      <c r="B363" s="71"/>
      <c r="F363" s="80"/>
      <c r="H363" s="80"/>
    </row>
    <row r="364" spans="1:8" ht="12.75">
      <c r="A364" s="71"/>
      <c r="B364" s="71"/>
      <c r="F364" s="80"/>
      <c r="H364" s="80"/>
    </row>
    <row r="365" spans="1:8" ht="12.75">
      <c r="A365" s="71" t="s">
        <v>232</v>
      </c>
      <c r="B365" s="71"/>
      <c r="F365" s="80"/>
      <c r="H365" s="80"/>
    </row>
    <row r="366" spans="1:8" ht="12.75">
      <c r="A366" s="71"/>
      <c r="B366" s="71"/>
      <c r="F366" s="80"/>
      <c r="H366" s="80"/>
    </row>
    <row r="367" spans="1:8" ht="12.75">
      <c r="A367" s="71"/>
      <c r="B367" s="71"/>
      <c r="F367" s="80"/>
      <c r="H367" s="80"/>
    </row>
    <row r="368" spans="1:8" ht="12.75">
      <c r="A368" s="71"/>
      <c r="B368" s="71"/>
      <c r="F368" s="80"/>
      <c r="H368" s="80"/>
    </row>
    <row r="369" spans="1:8" ht="12.75">
      <c r="A369" s="71"/>
      <c r="B369" s="71"/>
      <c r="F369" s="80"/>
      <c r="H369" s="80"/>
    </row>
    <row r="370" spans="1:8" ht="12.75">
      <c r="A370" s="71"/>
      <c r="B370" s="71"/>
      <c r="F370" s="80"/>
      <c r="H370" s="80"/>
    </row>
    <row r="371" spans="1:8" ht="12.75">
      <c r="A371" s="71"/>
      <c r="B371" s="71"/>
      <c r="F371" s="80"/>
      <c r="H371" s="80"/>
    </row>
    <row r="372" spans="1:8" ht="12.75">
      <c r="A372" s="71"/>
      <c r="B372" s="71"/>
      <c r="F372" s="80"/>
      <c r="H372" s="80"/>
    </row>
    <row r="373" spans="1:8" ht="12.75">
      <c r="A373" s="71"/>
      <c r="B373" s="71"/>
      <c r="F373" s="80"/>
      <c r="H373" s="80"/>
    </row>
    <row r="374" spans="1:8" ht="12.75">
      <c r="A374" s="71"/>
      <c r="B374" s="71"/>
      <c r="F374" s="80"/>
      <c r="H374" s="80"/>
    </row>
    <row r="375" spans="1:8" ht="12.75">
      <c r="A375" s="71"/>
      <c r="B375" s="71"/>
      <c r="F375" s="80"/>
      <c r="H375" s="80"/>
    </row>
    <row r="376" spans="1:8" ht="12.75">
      <c r="A376" s="71"/>
      <c r="B376" s="71"/>
      <c r="F376" s="80"/>
      <c r="H376" s="80"/>
    </row>
    <row r="377" spans="1:8" ht="12.75">
      <c r="A377" s="71"/>
      <c r="B377" s="71"/>
      <c r="F377" s="80"/>
      <c r="H377" s="80"/>
    </row>
    <row r="378" spans="1:8" ht="12.75">
      <c r="A378" s="71"/>
      <c r="B378" s="71"/>
      <c r="F378" s="80"/>
      <c r="H378" s="80"/>
    </row>
    <row r="379" spans="1:8" ht="12.75">
      <c r="A379" s="71"/>
      <c r="B379" s="71"/>
      <c r="F379" s="80"/>
      <c r="H379" s="80"/>
    </row>
    <row r="380" spans="1:8" ht="12.75">
      <c r="A380" s="71"/>
      <c r="B380" s="71"/>
      <c r="F380" s="80"/>
      <c r="H380" s="80"/>
    </row>
    <row r="381" spans="1:8" ht="12.75">
      <c r="A381" s="71"/>
      <c r="B381" s="71"/>
      <c r="F381" s="80"/>
      <c r="H381" s="80"/>
    </row>
    <row r="382" spans="6:8" ht="12.75">
      <c r="F382" s="80"/>
      <c r="H382" s="80"/>
    </row>
    <row r="383" spans="6:8" ht="12.75">
      <c r="F383" s="80"/>
      <c r="H383" s="80"/>
    </row>
    <row r="384" spans="6:8" ht="12.75">
      <c r="F384" s="80"/>
      <c r="H384" s="80"/>
    </row>
    <row r="385" spans="6:8" ht="12.75">
      <c r="F385" s="80"/>
      <c r="H385" s="80"/>
    </row>
    <row r="386" spans="6:8" ht="12.75">
      <c r="F386" s="80"/>
      <c r="H386" s="80"/>
    </row>
    <row r="387" spans="6:8" ht="12.75">
      <c r="F387" s="80"/>
      <c r="H387" s="80"/>
    </row>
    <row r="388" spans="6:8" ht="12.75">
      <c r="F388" s="80"/>
      <c r="H388" s="80"/>
    </row>
    <row r="389" spans="6:8" ht="12.75">
      <c r="F389" s="104"/>
      <c r="G389" s="98"/>
      <c r="H389" s="104"/>
    </row>
    <row r="390" spans="6:8" ht="12.75">
      <c r="F390" s="104"/>
      <c r="G390" s="98"/>
      <c r="H390" s="104"/>
    </row>
    <row r="391" spans="6:8" ht="12.75">
      <c r="F391" s="104"/>
      <c r="G391" s="98"/>
      <c r="H391" s="104"/>
    </row>
    <row r="392" spans="6:8" ht="12.75">
      <c r="F392" s="104"/>
      <c r="G392" s="98"/>
      <c r="H392" s="104"/>
    </row>
    <row r="393" spans="6:8" ht="12.75">
      <c r="F393" s="104"/>
      <c r="G393" s="98"/>
      <c r="H393" s="104"/>
    </row>
    <row r="394" spans="6:8" ht="12.75">
      <c r="F394" s="104"/>
      <c r="G394" s="98"/>
      <c r="H394" s="104"/>
    </row>
    <row r="395" spans="6:8" ht="12.75">
      <c r="F395" s="104"/>
      <c r="G395" s="98"/>
      <c r="H395" s="104"/>
    </row>
    <row r="396" spans="6:8" ht="12.75">
      <c r="F396" s="104"/>
      <c r="G396" s="98"/>
      <c r="H396" s="104"/>
    </row>
    <row r="397" spans="6:8" ht="12.75">
      <c r="F397" s="104"/>
      <c r="G397" s="98"/>
      <c r="H397" s="104"/>
    </row>
    <row r="398" spans="6:8" ht="12.75">
      <c r="F398" s="104"/>
      <c r="G398" s="98"/>
      <c r="H398" s="104"/>
    </row>
    <row r="399" spans="6:8" ht="12.75">
      <c r="F399" s="104"/>
      <c r="G399" s="98"/>
      <c r="H399" s="104"/>
    </row>
    <row r="400" spans="6:8" ht="12.75">
      <c r="F400" s="104"/>
      <c r="G400" s="98"/>
      <c r="H400" s="104"/>
    </row>
    <row r="401" spans="2:8" ht="12.75">
      <c r="B401" s="71"/>
      <c r="F401" s="104"/>
      <c r="G401" s="98"/>
      <c r="H401" s="104"/>
    </row>
    <row r="402" spans="6:8" ht="12.75">
      <c r="F402" s="104"/>
      <c r="G402" s="98"/>
      <c r="H402" s="104"/>
    </row>
    <row r="403" spans="6:8" ht="12.75">
      <c r="F403" s="80"/>
      <c r="H403" s="80"/>
    </row>
    <row r="404" spans="6:8" ht="12.75">
      <c r="F404" s="80"/>
      <c r="H404" s="80"/>
    </row>
    <row r="405" spans="6:8" ht="12.75">
      <c r="F405" s="80"/>
      <c r="H405" s="80"/>
    </row>
    <row r="406" spans="6:8" ht="12.75">
      <c r="F406" s="80"/>
      <c r="H406" s="80"/>
    </row>
    <row r="407" spans="2:8" ht="12.75">
      <c r="B407" s="112"/>
      <c r="F407" s="80"/>
      <c r="H407" s="80"/>
    </row>
    <row r="408" spans="6:8" ht="12.75">
      <c r="F408" s="80"/>
      <c r="H408" s="80"/>
    </row>
    <row r="409" spans="6:8" ht="12.75">
      <c r="F409" s="80"/>
      <c r="H409" s="80"/>
    </row>
  </sheetData>
  <sheetProtection password="E7B9" sheet="1" objects="1" scenarios="1"/>
  <mergeCells count="9">
    <mergeCell ref="B70:D70"/>
    <mergeCell ref="H82:I82"/>
    <mergeCell ref="F83:G83"/>
    <mergeCell ref="H83:I83"/>
    <mergeCell ref="H64:I64"/>
    <mergeCell ref="F65:G65"/>
    <mergeCell ref="H65:I65"/>
    <mergeCell ref="E69:F69"/>
    <mergeCell ref="G69:H69"/>
  </mergeCells>
  <printOptions/>
  <pageMargins left="0.5511811023622047" right="0.35433070866141736" top="0.984251968503937" bottom="0.984251968503937" header="0.5118110236220472" footer="0.5118110236220472"/>
  <pageSetup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AVF-16</dc:creator>
  <cp:keywords/>
  <dc:description/>
  <cp:lastModifiedBy>PARTNER 2</cp:lastModifiedBy>
  <cp:lastPrinted>2008-08-27T11:05:34Z</cp:lastPrinted>
  <dcterms:created xsi:type="dcterms:W3CDTF">2008-08-27T02:54:16Z</dcterms:created>
  <dcterms:modified xsi:type="dcterms:W3CDTF">2008-08-28T02:00:43Z</dcterms:modified>
  <cp:category/>
  <cp:version/>
  <cp:contentType/>
  <cp:contentStatus/>
</cp:coreProperties>
</file>